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128"/>
  <workbookPr/>
  <mc:AlternateContent xmlns:mc="http://schemas.openxmlformats.org/markup-compatibility/2006">
    <mc:Choice Requires="x15">
      <x15ac:absPath xmlns:x15ac="http://schemas.microsoft.com/office/spreadsheetml/2010/11/ac" url="O:\AUBGTalks\Talks - Waiting\Mikhail Nahorny\Resources\"/>
    </mc:Choice>
  </mc:AlternateContent>
  <bookViews>
    <workbookView xWindow="0" yWindow="0" windowWidth="20490" windowHeight="9915"/>
  </bookViews>
  <sheets>
    <sheet name="Assumptions" sheetId="2" r:id="rId1"/>
    <sheet name="Calc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D12" i="2"/>
  <c r="D13" i="2" l="1"/>
  <c r="E41" i="1" l="1"/>
  <c r="D14" i="2"/>
  <c r="C13" i="2" l="1"/>
  <c r="F48" i="1" l="1"/>
  <c r="G48" i="1" s="1"/>
  <c r="H48" i="1" s="1"/>
  <c r="I48" i="1" s="1"/>
  <c r="J48" i="1" s="1"/>
  <c r="K48" i="1" s="1"/>
  <c r="L48" i="1" s="1"/>
  <c r="M48" i="1" s="1"/>
  <c r="N48" i="1" s="1"/>
  <c r="O48" i="1" s="1"/>
  <c r="P48" i="1" s="1"/>
  <c r="Q48" i="1" s="1"/>
  <c r="R48" i="1" s="1"/>
  <c r="S48" i="1" s="1"/>
  <c r="T48" i="1" s="1"/>
  <c r="U48" i="1" s="1"/>
  <c r="V48" i="1" s="1"/>
  <c r="W48" i="1" s="1"/>
  <c r="X48" i="1" s="1"/>
  <c r="Y48" i="1" s="1"/>
  <c r="Z48" i="1" s="1"/>
  <c r="Z14" i="1" l="1"/>
  <c r="Y14" i="1"/>
  <c r="X14" i="1"/>
  <c r="W14" i="1"/>
  <c r="F50" i="1" l="1"/>
  <c r="F56" i="1" s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G5" i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F2" i="1"/>
  <c r="E3" i="1"/>
  <c r="F8" i="1"/>
  <c r="G2" i="1" l="1"/>
  <c r="G1" i="1" s="1"/>
  <c r="F1" i="1"/>
  <c r="F55" i="1"/>
  <c r="F17" i="1" s="1"/>
  <c r="F31" i="1" s="1"/>
  <c r="X5" i="1"/>
  <c r="Y5" i="1" s="1"/>
  <c r="Z5" i="1" s="1"/>
  <c r="G8" i="1"/>
  <c r="H8" i="1" s="1"/>
  <c r="F9" i="1"/>
  <c r="F10" i="1" s="1"/>
  <c r="F24" i="1" s="1"/>
  <c r="F3" i="1"/>
  <c r="H2" i="1" l="1"/>
  <c r="H1" i="1" s="1"/>
  <c r="G3" i="1"/>
  <c r="F52" i="1"/>
  <c r="F32" i="1" s="1"/>
  <c r="F33" i="1" s="1"/>
  <c r="F53" i="1"/>
  <c r="G50" i="1" s="1"/>
  <c r="G56" i="1" s="1"/>
  <c r="F12" i="1"/>
  <c r="F15" i="1"/>
  <c r="F18" i="1" s="1"/>
  <c r="G9" i="1"/>
  <c r="G10" i="1" s="1"/>
  <c r="G24" i="1" s="1"/>
  <c r="I8" i="1"/>
  <c r="H9" i="1"/>
  <c r="H10" i="1" s="1"/>
  <c r="H24" i="1" s="1"/>
  <c r="H3" i="1" l="1"/>
  <c r="I2" i="1"/>
  <c r="I1" i="1" s="1"/>
  <c r="F20" i="1"/>
  <c r="F25" i="1"/>
  <c r="F28" i="1" s="1"/>
  <c r="F35" i="1" s="1"/>
  <c r="F41" i="1" s="1"/>
  <c r="G55" i="1"/>
  <c r="G15" i="1"/>
  <c r="H15" i="1"/>
  <c r="H11" i="1"/>
  <c r="H12" i="1"/>
  <c r="G11" i="1"/>
  <c r="G12" i="1"/>
  <c r="J8" i="1"/>
  <c r="I9" i="1"/>
  <c r="I10" i="1" s="1"/>
  <c r="I24" i="1" s="1"/>
  <c r="I3" i="1" l="1"/>
  <c r="J2" i="1"/>
  <c r="J1" i="1" s="1"/>
  <c r="G52" i="1"/>
  <c r="G17" i="1"/>
  <c r="G31" i="1" s="1"/>
  <c r="I11" i="1"/>
  <c r="I15" i="1"/>
  <c r="I12" i="1"/>
  <c r="K8" i="1"/>
  <c r="J9" i="1"/>
  <c r="J10" i="1" s="1"/>
  <c r="J24" i="1" s="1"/>
  <c r="K2" i="1"/>
  <c r="K1" i="1" s="1"/>
  <c r="J3" i="1"/>
  <c r="G18" i="1" l="1"/>
  <c r="G53" i="1"/>
  <c r="H50" i="1" s="1"/>
  <c r="G32" i="1"/>
  <c r="G33" i="1" s="1"/>
  <c r="J11" i="1"/>
  <c r="J15" i="1"/>
  <c r="J12" i="1"/>
  <c r="L8" i="1"/>
  <c r="K9" i="1"/>
  <c r="K10" i="1" s="1"/>
  <c r="K24" i="1" s="1"/>
  <c r="K3" i="1"/>
  <c r="L2" i="1"/>
  <c r="L1" i="1" s="1"/>
  <c r="G20" i="1" l="1"/>
  <c r="G25" i="1"/>
  <c r="G28" i="1" s="1"/>
  <c r="G35" i="1" s="1"/>
  <c r="G41" i="1" s="1"/>
  <c r="H56" i="1"/>
  <c r="H55" i="1"/>
  <c r="K11" i="1"/>
  <c r="K15" i="1"/>
  <c r="K12" i="1"/>
  <c r="M8" i="1"/>
  <c r="L9" i="1"/>
  <c r="L10" i="1" s="1"/>
  <c r="L24" i="1" s="1"/>
  <c r="L3" i="1"/>
  <c r="M2" i="1"/>
  <c r="M1" i="1" s="1"/>
  <c r="H52" i="1" l="1"/>
  <c r="H17" i="1"/>
  <c r="H31" i="1" s="1"/>
  <c r="L11" i="1"/>
  <c r="L15" i="1"/>
  <c r="L12" i="1"/>
  <c r="N8" i="1"/>
  <c r="M9" i="1"/>
  <c r="M10" i="1" s="1"/>
  <c r="M24" i="1" s="1"/>
  <c r="N2" i="1"/>
  <c r="N1" i="1" s="1"/>
  <c r="M3" i="1"/>
  <c r="H53" i="1" l="1"/>
  <c r="I50" i="1" s="1"/>
  <c r="H32" i="1"/>
  <c r="H33" i="1" s="1"/>
  <c r="H18" i="1"/>
  <c r="M11" i="1"/>
  <c r="M15" i="1"/>
  <c r="M12" i="1"/>
  <c r="O8" i="1"/>
  <c r="N9" i="1"/>
  <c r="N10" i="1" s="1"/>
  <c r="N24" i="1" s="1"/>
  <c r="O2" i="1"/>
  <c r="O1" i="1" s="1"/>
  <c r="N3" i="1"/>
  <c r="H20" i="1" l="1"/>
  <c r="H25" i="1"/>
  <c r="H28" i="1" s="1"/>
  <c r="H35" i="1" s="1"/>
  <c r="H41" i="1" s="1"/>
  <c r="I56" i="1"/>
  <c r="I55" i="1"/>
  <c r="N11" i="1"/>
  <c r="N15" i="1"/>
  <c r="N12" i="1"/>
  <c r="P8" i="1"/>
  <c r="O9" i="1"/>
  <c r="O10" i="1" s="1"/>
  <c r="O24" i="1" s="1"/>
  <c r="O3" i="1"/>
  <c r="P2" i="1"/>
  <c r="P1" i="1" s="1"/>
  <c r="O15" i="1" l="1"/>
  <c r="I52" i="1"/>
  <c r="I17" i="1"/>
  <c r="I31" i="1" s="1"/>
  <c r="O12" i="1"/>
  <c r="O11" i="1"/>
  <c r="Q8" i="1"/>
  <c r="P9" i="1"/>
  <c r="P10" i="1" s="1"/>
  <c r="P24" i="1" s="1"/>
  <c r="Q2" i="1"/>
  <c r="Q1" i="1" s="1"/>
  <c r="P3" i="1"/>
  <c r="P15" i="1" l="1"/>
  <c r="I18" i="1"/>
  <c r="I53" i="1"/>
  <c r="J50" i="1" s="1"/>
  <c r="I32" i="1"/>
  <c r="I33" i="1" s="1"/>
  <c r="P12" i="1"/>
  <c r="P11" i="1"/>
  <c r="R8" i="1"/>
  <c r="Q9" i="1"/>
  <c r="Q10" i="1" s="1"/>
  <c r="Q24" i="1" s="1"/>
  <c r="R2" i="1"/>
  <c r="R1" i="1" s="1"/>
  <c r="Q3" i="1"/>
  <c r="I20" i="1" l="1"/>
  <c r="I25" i="1"/>
  <c r="I28" i="1" s="1"/>
  <c r="I35" i="1" s="1"/>
  <c r="I41" i="1" s="1"/>
  <c r="J56" i="1"/>
  <c r="J55" i="1"/>
  <c r="Q15" i="1"/>
  <c r="Q12" i="1"/>
  <c r="Q11" i="1"/>
  <c r="S8" i="1"/>
  <c r="R9" i="1"/>
  <c r="R10" i="1" s="1"/>
  <c r="R24" i="1" s="1"/>
  <c r="S2" i="1"/>
  <c r="S1" i="1" s="1"/>
  <c r="R3" i="1"/>
  <c r="R15" i="1" l="1"/>
  <c r="J52" i="1"/>
  <c r="J17" i="1"/>
  <c r="J31" i="1" s="1"/>
  <c r="R12" i="1"/>
  <c r="R11" i="1"/>
  <c r="T8" i="1"/>
  <c r="S9" i="1"/>
  <c r="S10" i="1" s="1"/>
  <c r="S24" i="1" s="1"/>
  <c r="S3" i="1"/>
  <c r="T2" i="1"/>
  <c r="T1" i="1" s="1"/>
  <c r="S15" i="1" l="1"/>
  <c r="J18" i="1"/>
  <c r="J53" i="1"/>
  <c r="K50" i="1" s="1"/>
  <c r="J32" i="1"/>
  <c r="J33" i="1" s="1"/>
  <c r="S12" i="1"/>
  <c r="S11" i="1"/>
  <c r="U8" i="1"/>
  <c r="T9" i="1"/>
  <c r="T10" i="1" s="1"/>
  <c r="T24" i="1" s="1"/>
  <c r="T3" i="1"/>
  <c r="U2" i="1"/>
  <c r="U1" i="1" s="1"/>
  <c r="J20" i="1" l="1"/>
  <c r="J25" i="1"/>
  <c r="J28" i="1" s="1"/>
  <c r="J35" i="1" s="1"/>
  <c r="J41" i="1" s="1"/>
  <c r="K56" i="1"/>
  <c r="K55" i="1"/>
  <c r="T15" i="1"/>
  <c r="T12" i="1"/>
  <c r="T11" i="1"/>
  <c r="V8" i="1"/>
  <c r="W8" i="1" s="1"/>
  <c r="U9" i="1"/>
  <c r="U10" i="1" s="1"/>
  <c r="U24" i="1" s="1"/>
  <c r="U3" i="1"/>
  <c r="V2" i="1"/>
  <c r="V1" i="1" s="1"/>
  <c r="U15" i="1" l="1"/>
  <c r="K52" i="1"/>
  <c r="K17" i="1"/>
  <c r="K31" i="1" s="1"/>
  <c r="V3" i="1"/>
  <c r="W2" i="1"/>
  <c r="W1" i="1" s="1"/>
  <c r="W9" i="1"/>
  <c r="W10" i="1" s="1"/>
  <c r="W24" i="1" s="1"/>
  <c r="X8" i="1"/>
  <c r="U12" i="1"/>
  <c r="U11" i="1"/>
  <c r="V9" i="1"/>
  <c r="V10" i="1" s="1"/>
  <c r="V24" i="1" s="1"/>
  <c r="V15" i="1" l="1"/>
  <c r="K18" i="1"/>
  <c r="K53" i="1"/>
  <c r="L50" i="1" s="1"/>
  <c r="K32" i="1"/>
  <c r="K33" i="1" s="1"/>
  <c r="W15" i="1"/>
  <c r="W12" i="1"/>
  <c r="W11" i="1"/>
  <c r="X9" i="1"/>
  <c r="X10" i="1" s="1"/>
  <c r="X24" i="1" s="1"/>
  <c r="Y8" i="1"/>
  <c r="W3" i="1"/>
  <c r="X2" i="1"/>
  <c r="X1" i="1" s="1"/>
  <c r="V12" i="1"/>
  <c r="V11" i="1"/>
  <c r="K20" i="1" l="1"/>
  <c r="K25" i="1"/>
  <c r="K28" i="1" s="1"/>
  <c r="K35" i="1" s="1"/>
  <c r="K41" i="1" s="1"/>
  <c r="L56" i="1"/>
  <c r="L55" i="1"/>
  <c r="X15" i="1"/>
  <c r="X12" i="1"/>
  <c r="X11" i="1"/>
  <c r="X3" i="1"/>
  <c r="Y2" i="1"/>
  <c r="Y1" i="1" s="1"/>
  <c r="Y9" i="1"/>
  <c r="Y10" i="1" s="1"/>
  <c r="Y24" i="1" s="1"/>
  <c r="Z8" i="1"/>
  <c r="L52" i="1" l="1"/>
  <c r="L17" i="1"/>
  <c r="L31" i="1" s="1"/>
  <c r="Y11" i="1"/>
  <c r="Y15" i="1"/>
  <c r="Y12" i="1"/>
  <c r="Z9" i="1"/>
  <c r="Z10" i="1" s="1"/>
  <c r="Z24" i="1" s="1"/>
  <c r="Z2" i="1"/>
  <c r="Y3" i="1"/>
  <c r="Z3" i="1" l="1"/>
  <c r="Z37" i="1" s="1"/>
  <c r="Z1" i="1"/>
  <c r="L53" i="1"/>
  <c r="M50" i="1" s="1"/>
  <c r="L32" i="1"/>
  <c r="L33" i="1" s="1"/>
  <c r="L18" i="1"/>
  <c r="L25" i="1" s="1"/>
  <c r="L28" i="1" s="1"/>
  <c r="Z15" i="1"/>
  <c r="Z12" i="1"/>
  <c r="Z11" i="1"/>
  <c r="L35" i="1" l="1"/>
  <c r="L41" i="1" s="1"/>
  <c r="L20" i="1"/>
  <c r="M56" i="1"/>
  <c r="M55" i="1"/>
  <c r="M52" i="1" l="1"/>
  <c r="M17" i="1"/>
  <c r="M31" i="1" s="1"/>
  <c r="M18" i="1" l="1"/>
  <c r="M53" i="1"/>
  <c r="N50" i="1" s="1"/>
  <c r="M32" i="1"/>
  <c r="M33" i="1" s="1"/>
  <c r="M20" i="1" l="1"/>
  <c r="M25" i="1"/>
  <c r="M28" i="1" s="1"/>
  <c r="M35" i="1" s="1"/>
  <c r="M41" i="1" s="1"/>
  <c r="N56" i="1"/>
  <c r="N55" i="1"/>
  <c r="N52" i="1" l="1"/>
  <c r="N17" i="1"/>
  <c r="N31" i="1" s="1"/>
  <c r="N18" i="1" l="1"/>
  <c r="N53" i="1"/>
  <c r="O50" i="1" s="1"/>
  <c r="N32" i="1"/>
  <c r="N33" i="1" s="1"/>
  <c r="N20" i="1" l="1"/>
  <c r="N25" i="1"/>
  <c r="N28" i="1" s="1"/>
  <c r="N35" i="1" s="1"/>
  <c r="N41" i="1" s="1"/>
  <c r="O56" i="1"/>
  <c r="O55" i="1"/>
  <c r="O52" i="1" l="1"/>
  <c r="O17" i="1"/>
  <c r="O31" i="1" s="1"/>
  <c r="O18" i="1" l="1"/>
  <c r="O53" i="1"/>
  <c r="P50" i="1" s="1"/>
  <c r="O32" i="1"/>
  <c r="O33" i="1" s="1"/>
  <c r="O20" i="1" l="1"/>
  <c r="O25" i="1"/>
  <c r="O28" i="1" s="1"/>
  <c r="O35" i="1" s="1"/>
  <c r="O41" i="1" s="1"/>
  <c r="P56" i="1"/>
  <c r="P55" i="1"/>
  <c r="P52" i="1" l="1"/>
  <c r="P17" i="1"/>
  <c r="P31" i="1" s="1"/>
  <c r="P18" i="1" l="1"/>
  <c r="P53" i="1"/>
  <c r="Q50" i="1" s="1"/>
  <c r="P32" i="1"/>
  <c r="P33" i="1" s="1"/>
  <c r="P20" i="1" l="1"/>
  <c r="P25" i="1"/>
  <c r="P28" i="1" s="1"/>
  <c r="P35" i="1" s="1"/>
  <c r="P41" i="1" s="1"/>
  <c r="Q56" i="1"/>
  <c r="Q55" i="1"/>
  <c r="Q52" i="1" l="1"/>
  <c r="Q17" i="1"/>
  <c r="Q31" i="1" s="1"/>
  <c r="Q18" i="1" l="1"/>
  <c r="Q53" i="1"/>
  <c r="R50" i="1" s="1"/>
  <c r="Q32" i="1"/>
  <c r="Q33" i="1" s="1"/>
  <c r="Q20" i="1" l="1"/>
  <c r="Q25" i="1"/>
  <c r="Q28" i="1" s="1"/>
  <c r="Q35" i="1" s="1"/>
  <c r="Q41" i="1" s="1"/>
  <c r="R56" i="1"/>
  <c r="R55" i="1"/>
  <c r="R52" i="1" l="1"/>
  <c r="R17" i="1"/>
  <c r="R31" i="1" s="1"/>
  <c r="R18" i="1" l="1"/>
  <c r="R53" i="1"/>
  <c r="S50" i="1" s="1"/>
  <c r="R32" i="1"/>
  <c r="R33" i="1" s="1"/>
  <c r="R20" i="1" l="1"/>
  <c r="R25" i="1"/>
  <c r="R28" i="1" s="1"/>
  <c r="R35" i="1" s="1"/>
  <c r="R41" i="1" s="1"/>
  <c r="S56" i="1"/>
  <c r="S55" i="1"/>
  <c r="S52" i="1" l="1"/>
  <c r="S17" i="1"/>
  <c r="S31" i="1" s="1"/>
  <c r="S18" i="1" l="1"/>
  <c r="S53" i="1"/>
  <c r="T50" i="1" s="1"/>
  <c r="S32" i="1"/>
  <c r="S33" i="1" s="1"/>
  <c r="S20" i="1" l="1"/>
  <c r="S25" i="1"/>
  <c r="S28" i="1" s="1"/>
  <c r="S35" i="1" s="1"/>
  <c r="S41" i="1" s="1"/>
  <c r="T56" i="1"/>
  <c r="T55" i="1"/>
  <c r="T52" i="1" l="1"/>
  <c r="T17" i="1"/>
  <c r="T31" i="1" s="1"/>
  <c r="T18" i="1" l="1"/>
  <c r="T53" i="1"/>
  <c r="U50" i="1" s="1"/>
  <c r="T32" i="1"/>
  <c r="T33" i="1" s="1"/>
  <c r="T20" i="1" l="1"/>
  <c r="T25" i="1"/>
  <c r="T28" i="1" s="1"/>
  <c r="T35" i="1" s="1"/>
  <c r="T41" i="1" s="1"/>
  <c r="U56" i="1"/>
  <c r="U55" i="1"/>
  <c r="U52" i="1" l="1"/>
  <c r="U17" i="1"/>
  <c r="U31" i="1" s="1"/>
  <c r="U53" i="1" l="1"/>
  <c r="V50" i="1" s="1"/>
  <c r="U32" i="1"/>
  <c r="U33" i="1" s="1"/>
  <c r="U18" i="1"/>
  <c r="U20" i="1" l="1"/>
  <c r="U25" i="1"/>
  <c r="U28" i="1" s="1"/>
  <c r="U35" i="1" s="1"/>
  <c r="U41" i="1" s="1"/>
  <c r="V56" i="1"/>
  <c r="V55" i="1"/>
  <c r="V52" i="1" l="1"/>
  <c r="V17" i="1"/>
  <c r="V31" i="1" s="1"/>
  <c r="V53" i="1" l="1"/>
  <c r="W50" i="1" s="1"/>
  <c r="V32" i="1"/>
  <c r="V33" i="1" s="1"/>
  <c r="V18" i="1"/>
  <c r="V20" i="1" l="1"/>
  <c r="V25" i="1"/>
  <c r="V28" i="1" s="1"/>
  <c r="V35" i="1" s="1"/>
  <c r="V41" i="1" s="1"/>
  <c r="W56" i="1"/>
  <c r="W55" i="1"/>
  <c r="W52" i="1" l="1"/>
  <c r="W17" i="1"/>
  <c r="W31" i="1" s="1"/>
  <c r="W53" i="1" l="1"/>
  <c r="X50" i="1" s="1"/>
  <c r="W32" i="1"/>
  <c r="W33" i="1" s="1"/>
  <c r="W18" i="1"/>
  <c r="W25" i="1" s="1"/>
  <c r="W28" i="1" s="1"/>
  <c r="W35" i="1" l="1"/>
  <c r="W41" i="1" s="1"/>
  <c r="W20" i="1"/>
  <c r="X56" i="1"/>
  <c r="X55" i="1"/>
  <c r="X52" i="1" l="1"/>
  <c r="X17" i="1"/>
  <c r="X31" i="1" s="1"/>
  <c r="X53" i="1" l="1"/>
  <c r="Y50" i="1" s="1"/>
  <c r="X32" i="1"/>
  <c r="X33" i="1" s="1"/>
  <c r="X18" i="1"/>
  <c r="X20" i="1" l="1"/>
  <c r="X25" i="1"/>
  <c r="X28" i="1" s="1"/>
  <c r="X35" i="1" s="1"/>
  <c r="X41" i="1" s="1"/>
  <c r="Y56" i="1"/>
  <c r="Y55" i="1"/>
  <c r="Y52" i="1" l="1"/>
  <c r="Y17" i="1"/>
  <c r="Y31" i="1" s="1"/>
  <c r="Y53" i="1" l="1"/>
  <c r="Z50" i="1" s="1"/>
  <c r="Y32" i="1"/>
  <c r="Y33" i="1" s="1"/>
  <c r="Y18" i="1"/>
  <c r="Y20" i="1" l="1"/>
  <c r="Y25" i="1"/>
  <c r="Y28" i="1" s="1"/>
  <c r="Y35" i="1" s="1"/>
  <c r="Y41" i="1" s="1"/>
  <c r="Z56" i="1"/>
  <c r="Z55" i="1"/>
  <c r="Z52" i="1" l="1"/>
  <c r="Z17" i="1"/>
  <c r="Z31" i="1" s="1"/>
  <c r="Z18" i="1" l="1"/>
  <c r="Z53" i="1"/>
  <c r="Z38" i="1" s="1"/>
  <c r="Z39" i="1" s="1"/>
  <c r="Z32" i="1"/>
  <c r="Z33" i="1" s="1"/>
  <c r="Z20" i="1" l="1"/>
  <c r="Z25" i="1"/>
  <c r="Z28" i="1" s="1"/>
  <c r="Z35" i="1" s="1"/>
  <c r="Z41" i="1" s="1"/>
  <c r="E43" i="1" l="1"/>
  <c r="E44" i="1"/>
</calcChain>
</file>

<file path=xl/sharedStrings.xml><?xml version="1.0" encoding="utf-8"?>
<sst xmlns="http://schemas.openxmlformats.org/spreadsheetml/2006/main" count="77" uniqueCount="52">
  <si>
    <t>Area, sq. m.</t>
  </si>
  <si>
    <t>Price per sq. m., LV</t>
  </si>
  <si>
    <t>Total price, LV k</t>
  </si>
  <si>
    <t>Funded by:</t>
  </si>
  <si>
    <t>Mortgage (bank's money)</t>
  </si>
  <si>
    <t>Equity (your money)</t>
  </si>
  <si>
    <t>Year</t>
  </si>
  <si>
    <t>Acquisition date</t>
  </si>
  <si>
    <t>Rental Income</t>
  </si>
  <si>
    <t>Rental Yield</t>
  </si>
  <si>
    <t>Inflation, p.a.</t>
  </si>
  <si>
    <t>Agency cost, % of Rental Income</t>
  </si>
  <si>
    <t>LV k</t>
  </si>
  <si>
    <t>EBITDA Margin</t>
  </si>
  <si>
    <t>%</t>
  </si>
  <si>
    <t>Cost to build</t>
  </si>
  <si>
    <t>Years to obliteration</t>
  </si>
  <si>
    <t>Depreciation (Non-cash)</t>
  </si>
  <si>
    <t>EBIT</t>
  </si>
  <si>
    <t>EBITDA growth rate</t>
  </si>
  <si>
    <t>Interest rate (cost of debt)</t>
  </si>
  <si>
    <t>Interest</t>
  </si>
  <si>
    <t>Beginning</t>
  </si>
  <si>
    <t>Additions</t>
  </si>
  <si>
    <t xml:space="preserve">Ending </t>
  </si>
  <si>
    <t>Deductions</t>
  </si>
  <si>
    <t>Mortgage period (years)</t>
  </si>
  <si>
    <t>Total payment</t>
  </si>
  <si>
    <t>Debt Schedule</t>
  </si>
  <si>
    <t>Tax rate</t>
  </si>
  <si>
    <t>Tax</t>
  </si>
  <si>
    <t>Principal repayment</t>
  </si>
  <si>
    <t>Income Statement</t>
  </si>
  <si>
    <t>Net Income</t>
  </si>
  <si>
    <t>Statement of Cash Flows</t>
  </si>
  <si>
    <t>EBITDA</t>
  </si>
  <si>
    <t>Agency Cost</t>
  </si>
  <si>
    <t>Maintenance Capex</t>
  </si>
  <si>
    <t>CFADS</t>
  </si>
  <si>
    <t>Debt Service</t>
  </si>
  <si>
    <t>Operating Cash Flow</t>
  </si>
  <si>
    <t>Cash flow to Equity (you)</t>
  </si>
  <si>
    <t>Periods remaining</t>
  </si>
  <si>
    <t>Total Debt Service</t>
  </si>
  <si>
    <t>Terminal value</t>
  </si>
  <si>
    <t>Debt outstanding @ the end</t>
  </si>
  <si>
    <t>Change in working capital</t>
  </si>
  <si>
    <t>Equity value to you</t>
  </si>
  <si>
    <t>Cash flow to equity for valuation</t>
  </si>
  <si>
    <t>IRR</t>
  </si>
  <si>
    <t>Mid year</t>
  </si>
  <si>
    <t>Year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</si>
</sst>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[$-409]mmmm\ d\,\ yyyy;@"/>
    <numFmt numFmtId="166" formatCode="[$-409]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4" tint="-0.2499465926084170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9" fontId="0" fillId="0" borderId="0" xfId="0" applyNumberFormat="1"/>
    <xf numFmtId="15" fontId="0" fillId="0" borderId="0" xfId="0" applyNumberFormat="1"/>
    <xf numFmtId="1" fontId="0" fillId="0" borderId="0" xfId="0" applyNumberFormat="1"/>
    <xf numFmtId="3" fontId="2" fillId="0" borderId="0" xfId="0" applyNumberFormat="1" applyFont="1"/>
    <xf numFmtId="15" fontId="2" fillId="0" borderId="0" xfId="0" applyNumberFormat="1" applyFont="1"/>
    <xf numFmtId="9" fontId="2" fillId="0" borderId="0" xfId="0" applyNumberFormat="1" applyFont="1"/>
    <xf numFmtId="10" fontId="0" fillId="0" borderId="0" xfId="0" applyNumberFormat="1"/>
    <xf numFmtId="10" fontId="2" fillId="0" borderId="0" xfId="0" applyNumberFormat="1" applyFont="1"/>
    <xf numFmtId="3" fontId="0" fillId="0" borderId="1" xfId="0" applyNumberFormat="1" applyBorder="1"/>
    <xf numFmtId="3" fontId="1" fillId="0" borderId="0" xfId="0" applyNumberFormat="1" applyFont="1"/>
    <xf numFmtId="3" fontId="1" fillId="0" borderId="2" xfId="0" applyNumberFormat="1" applyFont="1" applyBorder="1"/>
    <xf numFmtId="3" fontId="0" fillId="0" borderId="2" xfId="0" applyNumberFormat="1" applyBorder="1"/>
    <xf numFmtId="0" fontId="1" fillId="0" borderId="0" xfId="0" applyFont="1"/>
    <xf numFmtId="0" fontId="3" fillId="0" borderId="0" xfId="0" applyFont="1"/>
    <xf numFmtId="164" fontId="3" fillId="0" borderId="0" xfId="0" applyNumberFormat="1" applyFont="1"/>
    <xf numFmtId="3" fontId="2" fillId="0" borderId="1" xfId="0" applyNumberFormat="1" applyFont="1" applyBorder="1"/>
    <xf numFmtId="0" fontId="0" fillId="0" borderId="0" xfId="0" applyFont="1"/>
    <xf numFmtId="0" fontId="0" fillId="2" borderId="0" xfId="0" applyFill="1"/>
    <xf numFmtId="3" fontId="1" fillId="2" borderId="2" xfId="0" applyNumberFormat="1" applyFont="1" applyFill="1" applyBorder="1"/>
    <xf numFmtId="0" fontId="4" fillId="0" borderId="0" xfId="0" applyFont="1"/>
    <xf numFmtId="10" fontId="1" fillId="2" borderId="3" xfId="0" applyNumberFormat="1" applyFont="1" applyFill="1" applyBorder="1"/>
    <xf numFmtId="3" fontId="5" fillId="0" borderId="2" xfId="0" applyNumberFormat="1" applyFont="1" applyBorder="1"/>
    <xf numFmtId="3" fontId="5" fillId="0" borderId="0" xfId="0" applyNumberFormat="1" applyFont="1" applyBorder="1"/>
    <xf numFmtId="9" fontId="6" fillId="0" borderId="0" xfId="0" applyNumberFormat="1" applyFont="1"/>
    <xf numFmtId="165" fontId="2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showGridLines="0" tabSelected="1" zoomScale="115" zoomScaleNormal="115" workbookViewId="0">
      <selection activeCell="C13" sqref="C13"/>
    </sheetView>
  </sheetViews>
  <sheetFormatPr defaultRowHeight="15" x14ac:dyDescent="0.25"/>
  <cols>
    <col min="2" max="2" width="27.85546875" bestFit="1" customWidth="1"/>
    <col min="3" max="3" width="18.140625" bestFit="1" customWidth="1"/>
  </cols>
  <sheetData>
    <row r="1" spans="2:7" x14ac:dyDescent="0.25">
      <c r="E1" s="3"/>
    </row>
    <row r="2" spans="2:7" x14ac:dyDescent="0.25">
      <c r="B2" t="s">
        <v>0</v>
      </c>
      <c r="C2" s="5">
        <v>800</v>
      </c>
    </row>
    <row r="3" spans="2:7" x14ac:dyDescent="0.25">
      <c r="B3" t="s">
        <v>1</v>
      </c>
      <c r="C3" s="5">
        <v>3000</v>
      </c>
    </row>
    <row r="4" spans="2:7" x14ac:dyDescent="0.25">
      <c r="B4" t="s">
        <v>2</v>
      </c>
      <c r="C4" s="23">
        <f>PRODUCT(C2,C3)/1000</f>
        <v>2400</v>
      </c>
    </row>
    <row r="5" spans="2:7" x14ac:dyDescent="0.25">
      <c r="C5" s="24"/>
    </row>
    <row r="6" spans="2:7" x14ac:dyDescent="0.25">
      <c r="B6" t="s">
        <v>7</v>
      </c>
      <c r="C6" s="26">
        <v>41639</v>
      </c>
    </row>
    <row r="7" spans="2:7" x14ac:dyDescent="0.25">
      <c r="C7" s="6"/>
    </row>
    <row r="8" spans="2:7" x14ac:dyDescent="0.25">
      <c r="B8" t="s">
        <v>9</v>
      </c>
      <c r="C8" s="7">
        <v>0.08</v>
      </c>
    </row>
    <row r="9" spans="2:7" x14ac:dyDescent="0.25">
      <c r="B9" t="s">
        <v>11</v>
      </c>
      <c r="C9" s="7">
        <v>0.2</v>
      </c>
    </row>
    <row r="11" spans="2:7" x14ac:dyDescent="0.25">
      <c r="B11" t="s">
        <v>3</v>
      </c>
    </row>
    <row r="12" spans="2:7" x14ac:dyDescent="0.25">
      <c r="B12" t="s">
        <v>4</v>
      </c>
      <c r="C12" s="7">
        <v>0.6</v>
      </c>
      <c r="D12" s="1">
        <f>C4*C12</f>
        <v>1440</v>
      </c>
    </row>
    <row r="13" spans="2:7" x14ac:dyDescent="0.25">
      <c r="B13" t="s">
        <v>5</v>
      </c>
      <c r="C13" s="25">
        <f>1-C12</f>
        <v>0.4</v>
      </c>
      <c r="D13" s="1">
        <f>C4-D12</f>
        <v>960</v>
      </c>
      <c r="G13" s="8"/>
    </row>
    <row r="14" spans="2:7" x14ac:dyDescent="0.25">
      <c r="C14" s="7"/>
      <c r="D14" s="1">
        <f>SUM(D12:D13)</f>
        <v>2400</v>
      </c>
    </row>
    <row r="15" spans="2:7" x14ac:dyDescent="0.25">
      <c r="B15" t="s">
        <v>20</v>
      </c>
      <c r="C15" s="7">
        <v>0.04</v>
      </c>
    </row>
    <row r="17" spans="2:3" x14ac:dyDescent="0.25">
      <c r="B17" t="s">
        <v>26</v>
      </c>
      <c r="C17" s="5">
        <v>40</v>
      </c>
    </row>
    <row r="19" spans="2:3" x14ac:dyDescent="0.25">
      <c r="B19" t="s">
        <v>29</v>
      </c>
      <c r="C19" s="7">
        <v>0.1</v>
      </c>
    </row>
    <row r="20" spans="2:3" x14ac:dyDescent="0.25">
      <c r="C20" s="7"/>
    </row>
    <row r="21" spans="2:3" x14ac:dyDescent="0.25">
      <c r="B21" t="s">
        <v>15</v>
      </c>
      <c r="C21" s="5">
        <v>1100</v>
      </c>
    </row>
    <row r="22" spans="2:3" x14ac:dyDescent="0.25">
      <c r="B22" t="s">
        <v>16</v>
      </c>
      <c r="C22" s="5">
        <v>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3" sqref="E3"/>
    </sheetView>
  </sheetViews>
  <sheetFormatPr defaultColWidth="0" defaultRowHeight="15" outlineLevelRow="1" x14ac:dyDescent="0.25"/>
  <cols>
    <col min="1" max="1" width="3.28515625" customWidth="1"/>
    <col min="2" max="2" width="22.5703125" customWidth="1"/>
    <col min="3" max="3" width="9.42578125" bestFit="1" customWidth="1"/>
    <col min="4" max="4" width="5.28515625" customWidth="1"/>
    <col min="5" max="5" width="9.85546875" bestFit="1" customWidth="1"/>
    <col min="6" max="26" width="9.7109375" bestFit="1" customWidth="1"/>
    <col min="27" max="27" width="8.85546875" customWidth="1"/>
    <col min="28" max="28" width="0" hidden="1" customWidth="1"/>
    <col min="29" max="16384" width="8.85546875" hidden="1"/>
  </cols>
  <sheetData>
    <row r="1" spans="2:26" s="27" customFormat="1" x14ac:dyDescent="0.25">
      <c r="C1" s="27" t="s">
        <v>50</v>
      </c>
      <c r="E1" s="27">
        <v>41639</v>
      </c>
      <c r="F1" s="27">
        <f t="shared" ref="F1:Z1" si="0">DATE(YEAR(F2),6,30)</f>
        <v>41820</v>
      </c>
      <c r="G1" s="27">
        <f t="shared" si="0"/>
        <v>42185</v>
      </c>
      <c r="H1" s="27">
        <f t="shared" si="0"/>
        <v>42551</v>
      </c>
      <c r="I1" s="27">
        <f t="shared" si="0"/>
        <v>42916</v>
      </c>
      <c r="J1" s="27">
        <f t="shared" si="0"/>
        <v>43281</v>
      </c>
      <c r="K1" s="27">
        <f t="shared" si="0"/>
        <v>43646</v>
      </c>
      <c r="L1" s="27">
        <f t="shared" si="0"/>
        <v>44012</v>
      </c>
      <c r="M1" s="27">
        <f t="shared" si="0"/>
        <v>44377</v>
      </c>
      <c r="N1" s="27">
        <f t="shared" si="0"/>
        <v>44742</v>
      </c>
      <c r="O1" s="27">
        <f t="shared" si="0"/>
        <v>45107</v>
      </c>
      <c r="P1" s="27">
        <f t="shared" si="0"/>
        <v>45473</v>
      </c>
      <c r="Q1" s="27">
        <f t="shared" si="0"/>
        <v>45838</v>
      </c>
      <c r="R1" s="27">
        <f t="shared" si="0"/>
        <v>46203</v>
      </c>
      <c r="S1" s="27">
        <f t="shared" si="0"/>
        <v>46568</v>
      </c>
      <c r="T1" s="27">
        <f t="shared" si="0"/>
        <v>46934</v>
      </c>
      <c r="U1" s="27">
        <f t="shared" si="0"/>
        <v>47299</v>
      </c>
      <c r="V1" s="27">
        <f t="shared" si="0"/>
        <v>47664</v>
      </c>
      <c r="W1" s="27">
        <f t="shared" si="0"/>
        <v>48029</v>
      </c>
      <c r="X1" s="27">
        <f t="shared" si="0"/>
        <v>48395</v>
      </c>
      <c r="Y1" s="27">
        <f t="shared" si="0"/>
        <v>48760</v>
      </c>
      <c r="Z1" s="27">
        <f t="shared" si="0"/>
        <v>49125</v>
      </c>
    </row>
    <row r="2" spans="2:26" s="27" customFormat="1" x14ac:dyDescent="0.25">
      <c r="C2" s="27" t="s">
        <v>51</v>
      </c>
      <c r="E2" s="27">
        <v>41639</v>
      </c>
      <c r="F2" s="27">
        <f t="shared" ref="F2:V2" si="1">EOMONTH(E2,12)</f>
        <v>42004</v>
      </c>
      <c r="G2" s="27">
        <f t="shared" si="1"/>
        <v>42369</v>
      </c>
      <c r="H2" s="27">
        <f t="shared" si="1"/>
        <v>42735</v>
      </c>
      <c r="I2" s="27">
        <f t="shared" si="1"/>
        <v>43100</v>
      </c>
      <c r="J2" s="27">
        <f t="shared" si="1"/>
        <v>43465</v>
      </c>
      <c r="K2" s="27">
        <f t="shared" si="1"/>
        <v>43830</v>
      </c>
      <c r="L2" s="27">
        <f t="shared" si="1"/>
        <v>44196</v>
      </c>
      <c r="M2" s="27">
        <f t="shared" si="1"/>
        <v>44561</v>
      </c>
      <c r="N2" s="27">
        <f t="shared" si="1"/>
        <v>44926</v>
      </c>
      <c r="O2" s="27">
        <f t="shared" si="1"/>
        <v>45291</v>
      </c>
      <c r="P2" s="27">
        <f t="shared" si="1"/>
        <v>45657</v>
      </c>
      <c r="Q2" s="27">
        <f t="shared" si="1"/>
        <v>46022</v>
      </c>
      <c r="R2" s="27">
        <f t="shared" si="1"/>
        <v>46387</v>
      </c>
      <c r="S2" s="27">
        <f t="shared" si="1"/>
        <v>46752</v>
      </c>
      <c r="T2" s="27">
        <f t="shared" si="1"/>
        <v>47118</v>
      </c>
      <c r="U2" s="27">
        <f t="shared" si="1"/>
        <v>47483</v>
      </c>
      <c r="V2" s="27">
        <f t="shared" si="1"/>
        <v>47848</v>
      </c>
      <c r="W2" s="27">
        <f t="shared" ref="W2" si="2">EOMONTH(V2,12)</f>
        <v>48213</v>
      </c>
      <c r="X2" s="27">
        <f t="shared" ref="X2" si="3">EOMONTH(W2,12)</f>
        <v>48579</v>
      </c>
      <c r="Y2" s="27">
        <f t="shared" ref="Y2" si="4">EOMONTH(X2,12)</f>
        <v>48944</v>
      </c>
      <c r="Z2" s="27">
        <f t="shared" ref="Z2" si="5">EOMONTH(Y2,12)</f>
        <v>49309</v>
      </c>
    </row>
    <row r="3" spans="2:26" x14ac:dyDescent="0.25">
      <c r="C3" t="s">
        <v>6</v>
      </c>
      <c r="E3" s="4">
        <f>YEAR(E2)</f>
        <v>2013</v>
      </c>
      <c r="F3" s="4">
        <f t="shared" ref="F3:V3" si="6">YEAR(F2)</f>
        <v>2014</v>
      </c>
      <c r="G3" s="4">
        <f t="shared" si="6"/>
        <v>2015</v>
      </c>
      <c r="H3" s="4">
        <f t="shared" si="6"/>
        <v>2016</v>
      </c>
      <c r="I3" s="4">
        <f t="shared" si="6"/>
        <v>2017</v>
      </c>
      <c r="J3" s="4">
        <f t="shared" si="6"/>
        <v>2018</v>
      </c>
      <c r="K3" s="4">
        <f t="shared" si="6"/>
        <v>2019</v>
      </c>
      <c r="L3" s="4">
        <f t="shared" si="6"/>
        <v>2020</v>
      </c>
      <c r="M3" s="4">
        <f t="shared" si="6"/>
        <v>2021</v>
      </c>
      <c r="N3" s="4">
        <f t="shared" si="6"/>
        <v>2022</v>
      </c>
      <c r="O3" s="4">
        <f t="shared" si="6"/>
        <v>2023</v>
      </c>
      <c r="P3" s="4">
        <f t="shared" si="6"/>
        <v>2024</v>
      </c>
      <c r="Q3" s="4">
        <f t="shared" si="6"/>
        <v>2025</v>
      </c>
      <c r="R3" s="4">
        <f t="shared" si="6"/>
        <v>2026</v>
      </c>
      <c r="S3" s="4">
        <f t="shared" si="6"/>
        <v>2027</v>
      </c>
      <c r="T3" s="4">
        <f t="shared" si="6"/>
        <v>2028</v>
      </c>
      <c r="U3" s="4">
        <f t="shared" si="6"/>
        <v>2029</v>
      </c>
      <c r="V3" s="4">
        <f t="shared" si="6"/>
        <v>2030</v>
      </c>
      <c r="W3" s="4">
        <f t="shared" ref="W3:Z3" si="7">YEAR(W2)</f>
        <v>2031</v>
      </c>
      <c r="X3" s="4">
        <f t="shared" si="7"/>
        <v>2032</v>
      </c>
      <c r="Y3" s="4">
        <f t="shared" si="7"/>
        <v>2033</v>
      </c>
      <c r="Z3" s="4">
        <f t="shared" si="7"/>
        <v>2034</v>
      </c>
    </row>
    <row r="5" spans="2:26" x14ac:dyDescent="0.25">
      <c r="B5" t="s">
        <v>10</v>
      </c>
      <c r="F5" s="9">
        <v>3.5000000000000003E-2</v>
      </c>
      <c r="G5" s="8">
        <f t="shared" ref="G5:V5" si="8">F5</f>
        <v>3.5000000000000003E-2</v>
      </c>
      <c r="H5" s="8">
        <f t="shared" si="8"/>
        <v>3.5000000000000003E-2</v>
      </c>
      <c r="I5" s="8">
        <f t="shared" si="8"/>
        <v>3.5000000000000003E-2</v>
      </c>
      <c r="J5" s="8">
        <f t="shared" si="8"/>
        <v>3.5000000000000003E-2</v>
      </c>
      <c r="K5" s="8">
        <f t="shared" si="8"/>
        <v>3.5000000000000003E-2</v>
      </c>
      <c r="L5" s="8">
        <f t="shared" si="8"/>
        <v>3.5000000000000003E-2</v>
      </c>
      <c r="M5" s="8">
        <f t="shared" si="8"/>
        <v>3.5000000000000003E-2</v>
      </c>
      <c r="N5" s="8">
        <f t="shared" si="8"/>
        <v>3.5000000000000003E-2</v>
      </c>
      <c r="O5" s="8">
        <f t="shared" si="8"/>
        <v>3.5000000000000003E-2</v>
      </c>
      <c r="P5" s="8">
        <f t="shared" si="8"/>
        <v>3.5000000000000003E-2</v>
      </c>
      <c r="Q5" s="8">
        <f t="shared" si="8"/>
        <v>3.5000000000000003E-2</v>
      </c>
      <c r="R5" s="8">
        <f t="shared" si="8"/>
        <v>3.5000000000000003E-2</v>
      </c>
      <c r="S5" s="8">
        <f t="shared" si="8"/>
        <v>3.5000000000000003E-2</v>
      </c>
      <c r="T5" s="8">
        <f t="shared" si="8"/>
        <v>3.5000000000000003E-2</v>
      </c>
      <c r="U5" s="8">
        <f t="shared" si="8"/>
        <v>3.5000000000000003E-2</v>
      </c>
      <c r="V5" s="8">
        <f t="shared" si="8"/>
        <v>3.5000000000000003E-2</v>
      </c>
      <c r="W5" s="8">
        <f t="shared" ref="W5" si="9">V5</f>
        <v>3.5000000000000003E-2</v>
      </c>
      <c r="X5" s="8">
        <f t="shared" ref="X5" si="10">W5</f>
        <v>3.5000000000000003E-2</v>
      </c>
      <c r="Y5" s="8">
        <f t="shared" ref="Y5" si="11">X5</f>
        <v>3.5000000000000003E-2</v>
      </c>
      <c r="Z5" s="8">
        <f t="shared" ref="Z5" si="12">Y5</f>
        <v>3.5000000000000003E-2</v>
      </c>
    </row>
    <row r="6" spans="2:26" x14ac:dyDescent="0.25">
      <c r="F6" s="9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2:26" x14ac:dyDescent="0.25">
      <c r="B7" s="21" t="s">
        <v>32</v>
      </c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2:26" x14ac:dyDescent="0.25">
      <c r="B8" t="s">
        <v>8</v>
      </c>
      <c r="D8" t="s">
        <v>12</v>
      </c>
      <c r="E8" s="1"/>
      <c r="F8" s="1">
        <f>Assumptions!C8*Assumptions!$C$4</f>
        <v>192</v>
      </c>
      <c r="G8" s="1">
        <f t="shared" ref="G8:V8" si="13">F8*(1+G5)</f>
        <v>198.71999999999997</v>
      </c>
      <c r="H8" s="1">
        <f t="shared" si="13"/>
        <v>205.67519999999996</v>
      </c>
      <c r="I8" s="1">
        <f t="shared" si="13"/>
        <v>212.87383199999994</v>
      </c>
      <c r="J8" s="1">
        <f t="shared" si="13"/>
        <v>220.32441611999991</v>
      </c>
      <c r="K8" s="1">
        <f t="shared" si="13"/>
        <v>228.03577068419989</v>
      </c>
      <c r="L8" s="1">
        <f t="shared" si="13"/>
        <v>236.01702265814686</v>
      </c>
      <c r="M8" s="1">
        <f t="shared" si="13"/>
        <v>244.27761845118198</v>
      </c>
      <c r="N8" s="1">
        <f t="shared" si="13"/>
        <v>252.82733509697334</v>
      </c>
      <c r="O8" s="1">
        <f t="shared" si="13"/>
        <v>261.6762918253674</v>
      </c>
      <c r="P8" s="1">
        <f t="shared" si="13"/>
        <v>270.83496203925523</v>
      </c>
      <c r="Q8" s="1">
        <f t="shared" si="13"/>
        <v>280.31418571062915</v>
      </c>
      <c r="R8" s="1">
        <f t="shared" si="13"/>
        <v>290.12518221050112</v>
      </c>
      <c r="S8" s="1">
        <f t="shared" si="13"/>
        <v>300.27956358786867</v>
      </c>
      <c r="T8" s="1">
        <f t="shared" si="13"/>
        <v>310.78934831344407</v>
      </c>
      <c r="U8" s="1">
        <f t="shared" si="13"/>
        <v>321.66697550441461</v>
      </c>
      <c r="V8" s="1">
        <f t="shared" si="13"/>
        <v>332.9253196470691</v>
      </c>
      <c r="W8" s="1">
        <f t="shared" ref="W8:Z8" si="14">V8*(1+W5)</f>
        <v>344.57770583471648</v>
      </c>
      <c r="X8" s="1">
        <f t="shared" si="14"/>
        <v>356.63792553893154</v>
      </c>
      <c r="Y8" s="1">
        <f t="shared" si="14"/>
        <v>369.12025293279413</v>
      </c>
      <c r="Z8" s="1">
        <f t="shared" si="14"/>
        <v>382.03946178544192</v>
      </c>
    </row>
    <row r="9" spans="2:26" x14ac:dyDescent="0.25">
      <c r="B9" t="s">
        <v>36</v>
      </c>
      <c r="D9" t="s">
        <v>12</v>
      </c>
      <c r="F9" s="10">
        <f>-F8*Assumptions!$C$9</f>
        <v>-38.400000000000006</v>
      </c>
      <c r="G9" s="10">
        <f>-G8*Assumptions!$C$9</f>
        <v>-39.744</v>
      </c>
      <c r="H9" s="10">
        <f>-H8*Assumptions!$C$9</f>
        <v>-41.135039999999996</v>
      </c>
      <c r="I9" s="10">
        <f>-I8*Assumptions!$C$9</f>
        <v>-42.574766399999987</v>
      </c>
      <c r="J9" s="10">
        <f>-J8*Assumptions!$C$9</f>
        <v>-44.064883223999985</v>
      </c>
      <c r="K9" s="10">
        <f>-K8*Assumptions!$C$9</f>
        <v>-45.607154136839981</v>
      </c>
      <c r="L9" s="10">
        <f>-L8*Assumptions!$C$9</f>
        <v>-47.203404531629374</v>
      </c>
      <c r="M9" s="10">
        <f>-M8*Assumptions!$C$9</f>
        <v>-48.855523690236396</v>
      </c>
      <c r="N9" s="10">
        <f>-N8*Assumptions!$C$9</f>
        <v>-50.565467019394674</v>
      </c>
      <c r="O9" s="10">
        <f>-O8*Assumptions!$C$9</f>
        <v>-52.335258365073486</v>
      </c>
      <c r="P9" s="10">
        <f>-P8*Assumptions!$C$9</f>
        <v>-54.166992407851048</v>
      </c>
      <c r="Q9" s="10">
        <f>-Q8*Assumptions!$C$9</f>
        <v>-56.062837142125829</v>
      </c>
      <c r="R9" s="10">
        <f>-R8*Assumptions!$C$9</f>
        <v>-58.02503644210023</v>
      </c>
      <c r="S9" s="10">
        <f>-S8*Assumptions!$C$9</f>
        <v>-60.055912717573733</v>
      </c>
      <c r="T9" s="10">
        <f>-T8*Assumptions!$C$9</f>
        <v>-62.157869662688817</v>
      </c>
      <c r="U9" s="10">
        <f>-U8*Assumptions!$C$9</f>
        <v>-64.333395100882925</v>
      </c>
      <c r="V9" s="10">
        <f>-V8*Assumptions!$C$9</f>
        <v>-66.58506392941382</v>
      </c>
      <c r="W9" s="10">
        <f>-W8*Assumptions!$C$9</f>
        <v>-68.915541166943299</v>
      </c>
      <c r="X9" s="10">
        <f>-X8*Assumptions!$C$9</f>
        <v>-71.327585107786305</v>
      </c>
      <c r="Y9" s="10">
        <f>-Y8*Assumptions!$C$9</f>
        <v>-73.824050586558826</v>
      </c>
      <c r="Z9" s="10">
        <f>-Z8*Assumptions!$C$9</f>
        <v>-76.407892357088386</v>
      </c>
    </row>
    <row r="10" spans="2:26" x14ac:dyDescent="0.25">
      <c r="B10" t="s">
        <v>35</v>
      </c>
      <c r="F10" s="11">
        <f t="shared" ref="F10:V10" si="15">SUM(F8:F9)</f>
        <v>153.6</v>
      </c>
      <c r="G10" s="11">
        <f t="shared" si="15"/>
        <v>158.97599999999997</v>
      </c>
      <c r="H10" s="11">
        <f t="shared" si="15"/>
        <v>164.54015999999996</v>
      </c>
      <c r="I10" s="11">
        <f t="shared" si="15"/>
        <v>170.29906559999995</v>
      </c>
      <c r="J10" s="11">
        <f t="shared" si="15"/>
        <v>176.25953289599994</v>
      </c>
      <c r="K10" s="11">
        <f t="shared" si="15"/>
        <v>182.42861654735992</v>
      </c>
      <c r="L10" s="11">
        <f t="shared" si="15"/>
        <v>188.8136181265175</v>
      </c>
      <c r="M10" s="11">
        <f t="shared" si="15"/>
        <v>195.42209476094558</v>
      </c>
      <c r="N10" s="11">
        <f t="shared" si="15"/>
        <v>202.26186807757867</v>
      </c>
      <c r="O10" s="11">
        <f t="shared" si="15"/>
        <v>209.34103346029391</v>
      </c>
      <c r="P10" s="11">
        <f t="shared" si="15"/>
        <v>216.66796963140419</v>
      </c>
      <c r="Q10" s="11">
        <f t="shared" si="15"/>
        <v>224.25134856850332</v>
      </c>
      <c r="R10" s="11">
        <f t="shared" si="15"/>
        <v>232.10014576840089</v>
      </c>
      <c r="S10" s="11">
        <f t="shared" si="15"/>
        <v>240.22365087029493</v>
      </c>
      <c r="T10" s="11">
        <f t="shared" si="15"/>
        <v>248.63147865075524</v>
      </c>
      <c r="U10" s="11">
        <f t="shared" si="15"/>
        <v>257.3335804035317</v>
      </c>
      <c r="V10" s="11">
        <f t="shared" si="15"/>
        <v>266.34025571765528</v>
      </c>
      <c r="W10" s="11">
        <f t="shared" ref="W10:Z10" si="16">SUM(W8:W9)</f>
        <v>275.6621646677732</v>
      </c>
      <c r="X10" s="11">
        <f t="shared" si="16"/>
        <v>285.31034043114522</v>
      </c>
      <c r="Y10" s="11">
        <f t="shared" si="16"/>
        <v>295.2962023462353</v>
      </c>
      <c r="Z10" s="11">
        <f t="shared" si="16"/>
        <v>305.63156942835354</v>
      </c>
    </row>
    <row r="11" spans="2:26" s="15" customFormat="1" x14ac:dyDescent="0.25">
      <c r="B11" s="15" t="s">
        <v>19</v>
      </c>
      <c r="D11" s="15" t="s">
        <v>14</v>
      </c>
      <c r="G11" s="16">
        <f t="shared" ref="G11:V11" si="17">G10/F10-1</f>
        <v>3.499999999999992E-2</v>
      </c>
      <c r="H11" s="16">
        <f t="shared" si="17"/>
        <v>3.499999999999992E-2</v>
      </c>
      <c r="I11" s="16">
        <f t="shared" si="17"/>
        <v>3.499999999999992E-2</v>
      </c>
      <c r="J11" s="16">
        <f t="shared" si="17"/>
        <v>3.499999999999992E-2</v>
      </c>
      <c r="K11" s="16">
        <f t="shared" si="17"/>
        <v>3.499999999999992E-2</v>
      </c>
      <c r="L11" s="16">
        <f t="shared" si="17"/>
        <v>3.499999999999992E-2</v>
      </c>
      <c r="M11" s="16">
        <f t="shared" si="17"/>
        <v>3.499999999999992E-2</v>
      </c>
      <c r="N11" s="16">
        <f t="shared" si="17"/>
        <v>3.499999999999992E-2</v>
      </c>
      <c r="O11" s="16">
        <f t="shared" si="17"/>
        <v>3.499999999999992E-2</v>
      </c>
      <c r="P11" s="16">
        <f t="shared" si="17"/>
        <v>3.499999999999992E-2</v>
      </c>
      <c r="Q11" s="16">
        <f t="shared" si="17"/>
        <v>3.499999999999992E-2</v>
      </c>
      <c r="R11" s="16">
        <f t="shared" si="17"/>
        <v>3.499999999999992E-2</v>
      </c>
      <c r="S11" s="16">
        <f t="shared" si="17"/>
        <v>3.5000000000000142E-2</v>
      </c>
      <c r="T11" s="16">
        <f t="shared" si="17"/>
        <v>3.499999999999992E-2</v>
      </c>
      <c r="U11" s="16">
        <f t="shared" si="17"/>
        <v>3.5000000000000142E-2</v>
      </c>
      <c r="V11" s="16">
        <f t="shared" si="17"/>
        <v>3.499999999999992E-2</v>
      </c>
      <c r="W11" s="16">
        <f t="shared" ref="W11" si="18">W10/V10-1</f>
        <v>3.499999999999992E-2</v>
      </c>
      <c r="X11" s="16">
        <f t="shared" ref="X11" si="19">X10/W10-1</f>
        <v>3.499999999999992E-2</v>
      </c>
      <c r="Y11" s="16">
        <f t="shared" ref="Y11" si="20">Y10/X10-1</f>
        <v>3.499999999999992E-2</v>
      </c>
      <c r="Z11" s="16">
        <f t="shared" ref="Z11" si="21">Z10/Y10-1</f>
        <v>3.499999999999992E-2</v>
      </c>
    </row>
    <row r="12" spans="2:26" x14ac:dyDescent="0.25">
      <c r="B12" t="s">
        <v>13</v>
      </c>
      <c r="D12" t="s">
        <v>14</v>
      </c>
      <c r="F12" s="2">
        <f t="shared" ref="F12:V12" si="22">F10/F8</f>
        <v>0.79999999999999993</v>
      </c>
      <c r="G12" s="2">
        <f t="shared" si="22"/>
        <v>0.79999999999999993</v>
      </c>
      <c r="H12" s="2">
        <f t="shared" si="22"/>
        <v>0.79999999999999993</v>
      </c>
      <c r="I12" s="2">
        <f t="shared" si="22"/>
        <v>0.8</v>
      </c>
      <c r="J12" s="2">
        <f t="shared" si="22"/>
        <v>0.8</v>
      </c>
      <c r="K12" s="2">
        <f t="shared" si="22"/>
        <v>0.8</v>
      </c>
      <c r="L12" s="2">
        <f t="shared" si="22"/>
        <v>0.8</v>
      </c>
      <c r="M12" s="2">
        <f t="shared" si="22"/>
        <v>0.8</v>
      </c>
      <c r="N12" s="2">
        <f t="shared" si="22"/>
        <v>0.79999999999999993</v>
      </c>
      <c r="O12" s="2">
        <f t="shared" si="22"/>
        <v>0.79999999999999993</v>
      </c>
      <c r="P12" s="2">
        <f t="shared" si="22"/>
        <v>0.8</v>
      </c>
      <c r="Q12" s="2">
        <f t="shared" si="22"/>
        <v>0.8</v>
      </c>
      <c r="R12" s="2">
        <f t="shared" si="22"/>
        <v>0.79999999999999993</v>
      </c>
      <c r="S12" s="2">
        <f t="shared" si="22"/>
        <v>0.8</v>
      </c>
      <c r="T12" s="2">
        <f t="shared" si="22"/>
        <v>0.79999999999999993</v>
      </c>
      <c r="U12" s="2">
        <f t="shared" si="22"/>
        <v>0.8</v>
      </c>
      <c r="V12" s="2">
        <f t="shared" si="22"/>
        <v>0.8</v>
      </c>
      <c r="W12" s="2">
        <f t="shared" ref="W12:Z12" si="23">W10/W8</f>
        <v>0.8</v>
      </c>
      <c r="X12" s="2">
        <f t="shared" si="23"/>
        <v>0.79999999999999993</v>
      </c>
      <c r="Y12" s="2">
        <f t="shared" si="23"/>
        <v>0.8</v>
      </c>
      <c r="Z12" s="2">
        <f t="shared" si="23"/>
        <v>0.8</v>
      </c>
    </row>
    <row r="14" spans="2:26" x14ac:dyDescent="0.25">
      <c r="B14" t="s">
        <v>17</v>
      </c>
      <c r="D14" t="s">
        <v>12</v>
      </c>
      <c r="F14">
        <f>-Assumptions!$C$21/Assumptions!$C$22</f>
        <v>-22</v>
      </c>
      <c r="G14">
        <f>-Assumptions!$C$21/Assumptions!$C$22</f>
        <v>-22</v>
      </c>
      <c r="H14">
        <f>-Assumptions!$C$21/Assumptions!$C$22</f>
        <v>-22</v>
      </c>
      <c r="I14">
        <f>-Assumptions!$C$21/Assumptions!$C$22</f>
        <v>-22</v>
      </c>
      <c r="J14">
        <f>-Assumptions!$C$21/Assumptions!$C$22</f>
        <v>-22</v>
      </c>
      <c r="K14">
        <f>-Assumptions!$C$21/Assumptions!$C$22</f>
        <v>-22</v>
      </c>
      <c r="L14">
        <f>-Assumptions!$C$21/Assumptions!$C$22</f>
        <v>-22</v>
      </c>
      <c r="M14">
        <f>-Assumptions!$C$21/Assumptions!$C$22</f>
        <v>-22</v>
      </c>
      <c r="N14">
        <f>-Assumptions!$C$21/Assumptions!$C$22</f>
        <v>-22</v>
      </c>
      <c r="O14">
        <f>-Assumptions!$C$21/Assumptions!$C$22</f>
        <v>-22</v>
      </c>
      <c r="P14">
        <f>-Assumptions!$C$21/Assumptions!$C$22</f>
        <v>-22</v>
      </c>
      <c r="Q14">
        <f>-Assumptions!$C$21/Assumptions!$C$22</f>
        <v>-22</v>
      </c>
      <c r="R14">
        <f>-Assumptions!$C$21/Assumptions!$C$22</f>
        <v>-22</v>
      </c>
      <c r="S14">
        <f>-Assumptions!$C$21/Assumptions!$C$22</f>
        <v>-22</v>
      </c>
      <c r="T14">
        <f>-Assumptions!$C$21/Assumptions!$C$22</f>
        <v>-22</v>
      </c>
      <c r="U14">
        <f>-Assumptions!$C$21/Assumptions!$C$22</f>
        <v>-22</v>
      </c>
      <c r="V14">
        <f>-Assumptions!$C$21/Assumptions!$C$22</f>
        <v>-22</v>
      </c>
      <c r="W14">
        <f>-Assumptions!$C$21/Assumptions!$C$22</f>
        <v>-22</v>
      </c>
      <c r="X14">
        <f>-Assumptions!$C$21/Assumptions!$C$22</f>
        <v>-22</v>
      </c>
      <c r="Y14">
        <f>-Assumptions!$C$21/Assumptions!$C$22</f>
        <v>-22</v>
      </c>
      <c r="Z14">
        <f>-Assumptions!$C$21/Assumptions!$C$22</f>
        <v>-22</v>
      </c>
    </row>
    <row r="15" spans="2:26" x14ac:dyDescent="0.25">
      <c r="B15" t="s">
        <v>18</v>
      </c>
      <c r="D15" t="s">
        <v>12</v>
      </c>
      <c r="F15" s="12">
        <f t="shared" ref="F15:Z15" si="24">F10+F14</f>
        <v>131.6</v>
      </c>
      <c r="G15" s="12">
        <f t="shared" si="24"/>
        <v>136.97599999999997</v>
      </c>
      <c r="H15" s="12">
        <f t="shared" si="24"/>
        <v>142.54015999999996</v>
      </c>
      <c r="I15" s="12">
        <f t="shared" si="24"/>
        <v>148.29906559999995</v>
      </c>
      <c r="J15" s="12">
        <f t="shared" si="24"/>
        <v>154.25953289599994</v>
      </c>
      <c r="K15" s="12">
        <f t="shared" si="24"/>
        <v>160.42861654735992</v>
      </c>
      <c r="L15" s="12">
        <f t="shared" si="24"/>
        <v>166.8136181265175</v>
      </c>
      <c r="M15" s="12">
        <f t="shared" si="24"/>
        <v>173.42209476094558</v>
      </c>
      <c r="N15" s="12">
        <f t="shared" si="24"/>
        <v>180.26186807757867</v>
      </c>
      <c r="O15" s="12">
        <f t="shared" si="24"/>
        <v>187.34103346029391</v>
      </c>
      <c r="P15" s="12">
        <f t="shared" si="24"/>
        <v>194.66796963140419</v>
      </c>
      <c r="Q15" s="12">
        <f t="shared" si="24"/>
        <v>202.25134856850332</v>
      </c>
      <c r="R15" s="12">
        <f t="shared" si="24"/>
        <v>210.10014576840089</v>
      </c>
      <c r="S15" s="12">
        <f t="shared" si="24"/>
        <v>218.22365087029493</v>
      </c>
      <c r="T15" s="12">
        <f t="shared" si="24"/>
        <v>226.63147865075524</v>
      </c>
      <c r="U15" s="12">
        <f t="shared" si="24"/>
        <v>235.3335804035317</v>
      </c>
      <c r="V15" s="12">
        <f t="shared" si="24"/>
        <v>244.34025571765528</v>
      </c>
      <c r="W15" s="12">
        <f t="shared" si="24"/>
        <v>253.6621646677732</v>
      </c>
      <c r="X15" s="12">
        <f t="shared" si="24"/>
        <v>263.31034043114522</v>
      </c>
      <c r="Y15" s="12">
        <f t="shared" si="24"/>
        <v>273.2962023462353</v>
      </c>
      <c r="Z15" s="12">
        <f t="shared" si="24"/>
        <v>283.63156942835354</v>
      </c>
    </row>
    <row r="17" spans="2:26" x14ac:dyDescent="0.25">
      <c r="B17" t="s">
        <v>21</v>
      </c>
      <c r="D17" t="s">
        <v>12</v>
      </c>
      <c r="F17" s="1">
        <f t="shared" ref="F17:Z17" si="25">F55</f>
        <v>-57.6</v>
      </c>
      <c r="G17" s="1">
        <f t="shared" si="25"/>
        <v>-57.022999113064543</v>
      </c>
      <c r="H17" s="1">
        <f t="shared" si="25"/>
        <v>-56.422918190651671</v>
      </c>
      <c r="I17" s="1">
        <f t="shared" si="25"/>
        <v>-55.798834031342288</v>
      </c>
      <c r="J17" s="1">
        <f t="shared" si="25"/>
        <v>-55.149786505660522</v>
      </c>
      <c r="K17" s="1">
        <f t="shared" si="25"/>
        <v>-54.47477707895149</v>
      </c>
      <c r="L17" s="1">
        <f t="shared" si="25"/>
        <v>-53.772767275174104</v>
      </c>
      <c r="M17" s="1">
        <f t="shared" si="25"/>
        <v>-53.042677079245614</v>
      </c>
      <c r="N17" s="1">
        <f t="shared" si="25"/>
        <v>-52.283383275479984</v>
      </c>
      <c r="O17" s="1">
        <f t="shared" si="25"/>
        <v>-51.493717719563733</v>
      </c>
      <c r="P17" s="1">
        <f t="shared" si="25"/>
        <v>-50.672465541410823</v>
      </c>
      <c r="Q17" s="1">
        <f t="shared" si="25"/>
        <v>-49.818363276131798</v>
      </c>
      <c r="R17" s="1">
        <f t="shared" si="25"/>
        <v>-48.930096920241617</v>
      </c>
      <c r="S17" s="1">
        <f t="shared" si="25"/>
        <v>-48.006299910115821</v>
      </c>
      <c r="T17" s="1">
        <f t="shared" si="25"/>
        <v>-47.045551019584998</v>
      </c>
      <c r="U17" s="1">
        <f t="shared" si="25"/>
        <v>-46.04637217343295</v>
      </c>
      <c r="V17" s="1">
        <f t="shared" si="25"/>
        <v>-45.007226173434809</v>
      </c>
      <c r="W17" s="1">
        <f t="shared" si="25"/>
        <v>-43.926514333436742</v>
      </c>
      <c r="X17" s="1">
        <f t="shared" si="25"/>
        <v>-42.802574019838758</v>
      </c>
      <c r="Y17" s="1">
        <f t="shared" si="25"/>
        <v>-41.633676093696849</v>
      </c>
      <c r="Z17" s="1">
        <f t="shared" si="25"/>
        <v>-40.418022250509267</v>
      </c>
    </row>
    <row r="18" spans="2:26" x14ac:dyDescent="0.25">
      <c r="B18" t="s">
        <v>30</v>
      </c>
      <c r="D18" t="s">
        <v>12</v>
      </c>
      <c r="F18" s="1">
        <f>- (F15+F17) * Assumptions!$C$19</f>
        <v>-7.4</v>
      </c>
      <c r="G18" s="1">
        <f>- (G15+G17) * Assumptions!$C$19</f>
        <v>-7.9953000886935435</v>
      </c>
      <c r="H18" s="1">
        <f>- (H15+H17) * Assumptions!$C$19</f>
        <v>-8.6117241809348286</v>
      </c>
      <c r="I18" s="1">
        <f>- (I15+I17) * Assumptions!$C$19</f>
        <v>-9.2500231568657654</v>
      </c>
      <c r="J18" s="1">
        <f>- (J15+J17) * Assumptions!$C$19</f>
        <v>-9.9109746390339417</v>
      </c>
      <c r="K18" s="1">
        <f>- (K15+K17) * Assumptions!$C$19</f>
        <v>-10.595383946840844</v>
      </c>
      <c r="L18" s="1">
        <f>- (L15+L17) * Assumptions!$C$19</f>
        <v>-11.304085085134339</v>
      </c>
      <c r="M18" s="1">
        <f>- (M15+M17) * Assumptions!$C$19</f>
        <v>-12.037941768169999</v>
      </c>
      <c r="N18" s="1">
        <f>- (N15+N17) * Assumptions!$C$19</f>
        <v>-12.797848480209868</v>
      </c>
      <c r="O18" s="1">
        <f>- (O15+O17) * Assumptions!$C$19</f>
        <v>-13.584731574073018</v>
      </c>
      <c r="P18" s="1">
        <f>- (P15+P17) * Assumptions!$C$19</f>
        <v>-14.399550408999339</v>
      </c>
      <c r="Q18" s="1">
        <f>- (Q15+Q17) * Assumptions!$C$19</f>
        <v>-15.243298529237151</v>
      </c>
      <c r="R18" s="1">
        <f>- (R15+R17) * Assumptions!$C$19</f>
        <v>-16.117004884815927</v>
      </c>
      <c r="S18" s="1">
        <f>- (S15+S17) * Assumptions!$C$19</f>
        <v>-17.021735096017913</v>
      </c>
      <c r="T18" s="1">
        <f>- (T15+T17) * Assumptions!$C$19</f>
        <v>-17.958592763117025</v>
      </c>
      <c r="U18" s="1">
        <f>- (U15+U17) * Assumptions!$C$19</f>
        <v>-18.928720823009876</v>
      </c>
      <c r="V18" s="1">
        <f>- (V15+V17) * Assumptions!$C$19</f>
        <v>-19.933302954422047</v>
      </c>
      <c r="W18" s="1">
        <f>- (W15+W17) * Assumptions!$C$19</f>
        <v>-20.973565033433648</v>
      </c>
      <c r="X18" s="1">
        <f>- (X15+X17) * Assumptions!$C$19</f>
        <v>-22.05077664113065</v>
      </c>
      <c r="Y18" s="1">
        <f>- (Y15+Y17) * Assumptions!$C$19</f>
        <v>-23.166252625253847</v>
      </c>
      <c r="Z18" s="1">
        <f>- (Z15+Z17) * Assumptions!$C$19</f>
        <v>-24.32135471778443</v>
      </c>
    </row>
    <row r="20" spans="2:26" x14ac:dyDescent="0.25">
      <c r="B20" t="s">
        <v>33</v>
      </c>
      <c r="D20" t="s">
        <v>12</v>
      </c>
      <c r="F20" s="12">
        <f t="shared" ref="F20:Z20" si="26">SUM(F17:F18,F15)</f>
        <v>66.599999999999994</v>
      </c>
      <c r="G20" s="12">
        <f t="shared" si="26"/>
        <v>71.957700798241888</v>
      </c>
      <c r="H20" s="12">
        <f t="shared" si="26"/>
        <v>77.505517628413457</v>
      </c>
      <c r="I20" s="12">
        <f t="shared" si="26"/>
        <v>83.250208411791903</v>
      </c>
      <c r="J20" s="12">
        <f t="shared" si="26"/>
        <v>89.198771751305472</v>
      </c>
      <c r="K20" s="12">
        <f t="shared" si="26"/>
        <v>95.358455521567592</v>
      </c>
      <c r="L20" s="12">
        <f t="shared" si="26"/>
        <v>101.73676576620906</v>
      </c>
      <c r="M20" s="12">
        <f t="shared" si="26"/>
        <v>108.34147591352998</v>
      </c>
      <c r="N20" s="12">
        <f t="shared" si="26"/>
        <v>115.18063632188881</v>
      </c>
      <c r="O20" s="12">
        <f t="shared" si="26"/>
        <v>122.26258416665716</v>
      </c>
      <c r="P20" s="12">
        <f t="shared" si="26"/>
        <v>129.59595368099403</v>
      </c>
      <c r="Q20" s="12">
        <f t="shared" si="26"/>
        <v>137.18968676313438</v>
      </c>
      <c r="R20" s="12">
        <f t="shared" si="26"/>
        <v>145.05304396334336</v>
      </c>
      <c r="S20" s="12">
        <f t="shared" si="26"/>
        <v>153.1956158641612</v>
      </c>
      <c r="T20" s="12">
        <f t="shared" si="26"/>
        <v>161.62733486805323</v>
      </c>
      <c r="U20" s="12">
        <f t="shared" si="26"/>
        <v>170.35848740708889</v>
      </c>
      <c r="V20" s="12">
        <f t="shared" si="26"/>
        <v>179.39972658979843</v>
      </c>
      <c r="W20" s="12">
        <f t="shared" si="26"/>
        <v>188.76208530090281</v>
      </c>
      <c r="X20" s="12">
        <f t="shared" si="26"/>
        <v>198.45698977017582</v>
      </c>
      <c r="Y20" s="12">
        <f t="shared" si="26"/>
        <v>208.49627362728461</v>
      </c>
      <c r="Z20" s="12">
        <f t="shared" si="26"/>
        <v>218.89219246005985</v>
      </c>
    </row>
    <row r="22" spans="2:26" x14ac:dyDescent="0.25">
      <c r="B22" s="21" t="s">
        <v>34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x14ac:dyDescent="0.25">
      <c r="B23" s="14" t="s">
        <v>40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x14ac:dyDescent="0.25">
      <c r="B24" t="s">
        <v>35</v>
      </c>
      <c r="D24" t="s">
        <v>12</v>
      </c>
      <c r="F24" s="1">
        <f t="shared" ref="F24:Z24" si="27">F10</f>
        <v>153.6</v>
      </c>
      <c r="G24" s="1">
        <f t="shared" si="27"/>
        <v>158.97599999999997</v>
      </c>
      <c r="H24" s="1">
        <f t="shared" si="27"/>
        <v>164.54015999999996</v>
      </c>
      <c r="I24" s="1">
        <f t="shared" si="27"/>
        <v>170.29906559999995</v>
      </c>
      <c r="J24" s="1">
        <f t="shared" si="27"/>
        <v>176.25953289599994</v>
      </c>
      <c r="K24" s="1">
        <f t="shared" si="27"/>
        <v>182.42861654735992</v>
      </c>
      <c r="L24" s="1">
        <f t="shared" si="27"/>
        <v>188.8136181265175</v>
      </c>
      <c r="M24" s="1">
        <f t="shared" si="27"/>
        <v>195.42209476094558</v>
      </c>
      <c r="N24" s="1">
        <f t="shared" si="27"/>
        <v>202.26186807757867</v>
      </c>
      <c r="O24" s="1">
        <f t="shared" si="27"/>
        <v>209.34103346029391</v>
      </c>
      <c r="P24" s="1">
        <f t="shared" si="27"/>
        <v>216.66796963140419</v>
      </c>
      <c r="Q24" s="1">
        <f t="shared" si="27"/>
        <v>224.25134856850332</v>
      </c>
      <c r="R24" s="1">
        <f t="shared" si="27"/>
        <v>232.10014576840089</v>
      </c>
      <c r="S24" s="1">
        <f t="shared" si="27"/>
        <v>240.22365087029493</v>
      </c>
      <c r="T24" s="1">
        <f t="shared" si="27"/>
        <v>248.63147865075524</v>
      </c>
      <c r="U24" s="1">
        <f t="shared" si="27"/>
        <v>257.3335804035317</v>
      </c>
      <c r="V24" s="1">
        <f t="shared" si="27"/>
        <v>266.34025571765528</v>
      </c>
      <c r="W24" s="1">
        <f t="shared" si="27"/>
        <v>275.6621646677732</v>
      </c>
      <c r="X24" s="1">
        <f t="shared" si="27"/>
        <v>285.31034043114522</v>
      </c>
      <c r="Y24" s="1">
        <f t="shared" si="27"/>
        <v>295.2962023462353</v>
      </c>
      <c r="Z24" s="1">
        <f t="shared" si="27"/>
        <v>305.63156942835354</v>
      </c>
    </row>
    <row r="25" spans="2:26" x14ac:dyDescent="0.25">
      <c r="B25" t="s">
        <v>30</v>
      </c>
      <c r="D25" t="s">
        <v>12</v>
      </c>
      <c r="F25" s="1">
        <f t="shared" ref="F25:Z25" si="28">F18</f>
        <v>-7.4</v>
      </c>
      <c r="G25" s="1">
        <f t="shared" si="28"/>
        <v>-7.9953000886935435</v>
      </c>
      <c r="H25" s="1">
        <f t="shared" si="28"/>
        <v>-8.6117241809348286</v>
      </c>
      <c r="I25" s="1">
        <f t="shared" si="28"/>
        <v>-9.2500231568657654</v>
      </c>
      <c r="J25" s="1">
        <f t="shared" si="28"/>
        <v>-9.9109746390339417</v>
      </c>
      <c r="K25" s="1">
        <f t="shared" si="28"/>
        <v>-10.595383946840844</v>
      </c>
      <c r="L25" s="1">
        <f t="shared" si="28"/>
        <v>-11.304085085134339</v>
      </c>
      <c r="M25" s="1">
        <f t="shared" si="28"/>
        <v>-12.037941768169999</v>
      </c>
      <c r="N25" s="1">
        <f t="shared" si="28"/>
        <v>-12.797848480209868</v>
      </c>
      <c r="O25" s="1">
        <f t="shared" si="28"/>
        <v>-13.584731574073018</v>
      </c>
      <c r="P25" s="1">
        <f t="shared" si="28"/>
        <v>-14.399550408999339</v>
      </c>
      <c r="Q25" s="1">
        <f t="shared" si="28"/>
        <v>-15.243298529237151</v>
      </c>
      <c r="R25" s="1">
        <f t="shared" si="28"/>
        <v>-16.117004884815927</v>
      </c>
      <c r="S25" s="1">
        <f t="shared" si="28"/>
        <v>-17.021735096017913</v>
      </c>
      <c r="T25" s="1">
        <f t="shared" si="28"/>
        <v>-17.958592763117025</v>
      </c>
      <c r="U25" s="1">
        <f t="shared" si="28"/>
        <v>-18.928720823009876</v>
      </c>
      <c r="V25" s="1">
        <f t="shared" si="28"/>
        <v>-19.933302954422047</v>
      </c>
      <c r="W25" s="1">
        <f t="shared" si="28"/>
        <v>-20.973565033433648</v>
      </c>
      <c r="X25" s="1">
        <f t="shared" si="28"/>
        <v>-22.05077664113065</v>
      </c>
      <c r="Y25" s="1">
        <f t="shared" si="28"/>
        <v>-23.166252625253847</v>
      </c>
      <c r="Z25" s="1">
        <f t="shared" si="28"/>
        <v>-24.32135471778443</v>
      </c>
    </row>
    <row r="26" spans="2:26" x14ac:dyDescent="0.25">
      <c r="B26" t="s">
        <v>46</v>
      </c>
      <c r="D26" t="s">
        <v>12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</row>
    <row r="27" spans="2:26" x14ac:dyDescent="0.25">
      <c r="B27" t="s">
        <v>37</v>
      </c>
      <c r="D27" t="s">
        <v>12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</row>
    <row r="28" spans="2:26" x14ac:dyDescent="0.25">
      <c r="B28" t="s">
        <v>38</v>
      </c>
      <c r="D28" t="s">
        <v>12</v>
      </c>
      <c r="F28" s="11">
        <f t="shared" ref="F28:Z28" si="29">SUM(F24:F27)</f>
        <v>146.19999999999999</v>
      </c>
      <c r="G28" s="11">
        <f t="shared" si="29"/>
        <v>150.98069991130643</v>
      </c>
      <c r="H28" s="11">
        <f t="shared" si="29"/>
        <v>155.92843581906513</v>
      </c>
      <c r="I28" s="11">
        <f t="shared" si="29"/>
        <v>161.04904244313417</v>
      </c>
      <c r="J28" s="11">
        <f t="shared" si="29"/>
        <v>166.34855825696599</v>
      </c>
      <c r="K28" s="11">
        <f t="shared" si="29"/>
        <v>171.83323260051907</v>
      </c>
      <c r="L28" s="11">
        <f t="shared" si="29"/>
        <v>177.50953304138315</v>
      </c>
      <c r="M28" s="11">
        <f t="shared" si="29"/>
        <v>183.3841529927756</v>
      </c>
      <c r="N28" s="11">
        <f t="shared" si="29"/>
        <v>189.4640195973688</v>
      </c>
      <c r="O28" s="11">
        <f t="shared" si="29"/>
        <v>195.75630188622091</v>
      </c>
      <c r="P28" s="11">
        <f t="shared" si="29"/>
        <v>202.26841922240484</v>
      </c>
      <c r="Q28" s="11">
        <f t="shared" si="29"/>
        <v>209.00805003926615</v>
      </c>
      <c r="R28" s="11">
        <f t="shared" si="29"/>
        <v>215.98314088358495</v>
      </c>
      <c r="S28" s="11">
        <f t="shared" si="29"/>
        <v>223.20191577427701</v>
      </c>
      <c r="T28" s="11">
        <f t="shared" si="29"/>
        <v>230.67288588763822</v>
      </c>
      <c r="U28" s="11">
        <f t="shared" si="29"/>
        <v>238.40485958052182</v>
      </c>
      <c r="V28" s="11">
        <f t="shared" si="29"/>
        <v>246.40695276323322</v>
      </c>
      <c r="W28" s="11">
        <f t="shared" si="29"/>
        <v>254.68859963433954</v>
      </c>
      <c r="X28" s="11">
        <f t="shared" si="29"/>
        <v>263.25956379001457</v>
      </c>
      <c r="Y28" s="11">
        <f t="shared" si="29"/>
        <v>272.12994972098147</v>
      </c>
      <c r="Z28" s="11">
        <f t="shared" si="29"/>
        <v>281.31021471056908</v>
      </c>
    </row>
    <row r="29" spans="2:26" x14ac:dyDescent="0.25"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x14ac:dyDescent="0.25">
      <c r="B30" s="14" t="s">
        <v>39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x14ac:dyDescent="0.25">
      <c r="B31" t="s">
        <v>21</v>
      </c>
      <c r="D31" t="s">
        <v>12</v>
      </c>
      <c r="F31" s="1">
        <f t="shared" ref="F31:Z31" si="30">F17</f>
        <v>-57.6</v>
      </c>
      <c r="G31" s="1">
        <f t="shared" si="30"/>
        <v>-57.022999113064543</v>
      </c>
      <c r="H31" s="1">
        <f t="shared" si="30"/>
        <v>-56.422918190651671</v>
      </c>
      <c r="I31" s="1">
        <f t="shared" si="30"/>
        <v>-55.798834031342288</v>
      </c>
      <c r="J31" s="1">
        <f t="shared" si="30"/>
        <v>-55.149786505660522</v>
      </c>
      <c r="K31" s="1">
        <f t="shared" si="30"/>
        <v>-54.47477707895149</v>
      </c>
      <c r="L31" s="1">
        <f t="shared" si="30"/>
        <v>-53.772767275174104</v>
      </c>
      <c r="M31" s="1">
        <f t="shared" si="30"/>
        <v>-53.042677079245614</v>
      </c>
      <c r="N31" s="1">
        <f t="shared" si="30"/>
        <v>-52.283383275479984</v>
      </c>
      <c r="O31" s="1">
        <f t="shared" si="30"/>
        <v>-51.493717719563733</v>
      </c>
      <c r="P31" s="1">
        <f t="shared" si="30"/>
        <v>-50.672465541410823</v>
      </c>
      <c r="Q31" s="1">
        <f t="shared" si="30"/>
        <v>-49.818363276131798</v>
      </c>
      <c r="R31" s="1">
        <f t="shared" si="30"/>
        <v>-48.930096920241617</v>
      </c>
      <c r="S31" s="1">
        <f t="shared" si="30"/>
        <v>-48.006299910115821</v>
      </c>
      <c r="T31" s="1">
        <f t="shared" si="30"/>
        <v>-47.045551019584998</v>
      </c>
      <c r="U31" s="1">
        <f t="shared" si="30"/>
        <v>-46.04637217343295</v>
      </c>
      <c r="V31" s="1">
        <f t="shared" si="30"/>
        <v>-45.007226173434809</v>
      </c>
      <c r="W31" s="1">
        <f t="shared" si="30"/>
        <v>-43.926514333436742</v>
      </c>
      <c r="X31" s="1">
        <f t="shared" si="30"/>
        <v>-42.802574019838758</v>
      </c>
      <c r="Y31" s="1">
        <f t="shared" si="30"/>
        <v>-41.633676093696849</v>
      </c>
      <c r="Z31" s="1">
        <f t="shared" si="30"/>
        <v>-40.418022250509267</v>
      </c>
    </row>
    <row r="32" spans="2:26" x14ac:dyDescent="0.25">
      <c r="B32" t="s">
        <v>31</v>
      </c>
      <c r="D32" t="s">
        <v>12</v>
      </c>
      <c r="F32" s="10">
        <f t="shared" ref="F32:Z32" si="31">F52</f>
        <v>-14.425022173386374</v>
      </c>
      <c r="G32" s="10">
        <f t="shared" si="31"/>
        <v>-15.002023060321818</v>
      </c>
      <c r="H32" s="10">
        <f t="shared" si="31"/>
        <v>-15.602103982734704</v>
      </c>
      <c r="I32" s="10">
        <f t="shared" si="31"/>
        <v>-16.226188142044087</v>
      </c>
      <c r="J32" s="10">
        <f t="shared" si="31"/>
        <v>-16.875235667725839</v>
      </c>
      <c r="K32" s="10">
        <f t="shared" si="31"/>
        <v>-17.550245094434885</v>
      </c>
      <c r="L32" s="10">
        <f t="shared" si="31"/>
        <v>-18.252254898212271</v>
      </c>
      <c r="M32" s="10">
        <f t="shared" si="31"/>
        <v>-18.982345094140761</v>
      </c>
      <c r="N32" s="10">
        <f t="shared" si="31"/>
        <v>-19.741638897906391</v>
      </c>
      <c r="O32" s="10">
        <f t="shared" si="31"/>
        <v>-20.531304453822656</v>
      </c>
      <c r="P32" s="10">
        <f t="shared" si="31"/>
        <v>-21.352556631975567</v>
      </c>
      <c r="Q32" s="10">
        <f t="shared" si="31"/>
        <v>-22.206658897254577</v>
      </c>
      <c r="R32" s="10">
        <f t="shared" si="31"/>
        <v>-23.094925253144758</v>
      </c>
      <c r="S32" s="10">
        <f t="shared" si="31"/>
        <v>-24.018722263270554</v>
      </c>
      <c r="T32" s="10">
        <f t="shared" si="31"/>
        <v>-24.979471153801391</v>
      </c>
      <c r="U32" s="10">
        <f t="shared" si="31"/>
        <v>-25.978649999953426</v>
      </c>
      <c r="V32" s="10">
        <f t="shared" si="31"/>
        <v>-27.017795999951566</v>
      </c>
      <c r="W32" s="10">
        <f t="shared" si="31"/>
        <v>-28.098507839949647</v>
      </c>
      <c r="X32" s="10">
        <f t="shared" si="31"/>
        <v>-29.222448153547617</v>
      </c>
      <c r="Y32" s="10">
        <f t="shared" si="31"/>
        <v>-30.391346079689527</v>
      </c>
      <c r="Z32" s="10">
        <f t="shared" si="31"/>
        <v>-31.606999922877094</v>
      </c>
    </row>
    <row r="33" spans="2:26" x14ac:dyDescent="0.25">
      <c r="B33" t="s">
        <v>43</v>
      </c>
      <c r="D33" t="s">
        <v>12</v>
      </c>
      <c r="F33" s="11">
        <f t="shared" ref="F33:Z33" si="32">SUM(F31:F32)</f>
        <v>-72.025022173386375</v>
      </c>
      <c r="G33" s="11">
        <f t="shared" si="32"/>
        <v>-72.025022173386361</v>
      </c>
      <c r="H33" s="11">
        <f t="shared" si="32"/>
        <v>-72.025022173386375</v>
      </c>
      <c r="I33" s="11">
        <f t="shared" si="32"/>
        <v>-72.025022173386375</v>
      </c>
      <c r="J33" s="11">
        <f t="shared" si="32"/>
        <v>-72.025022173386361</v>
      </c>
      <c r="K33" s="11">
        <f t="shared" si="32"/>
        <v>-72.025022173386375</v>
      </c>
      <c r="L33" s="11">
        <f t="shared" si="32"/>
        <v>-72.025022173386375</v>
      </c>
      <c r="M33" s="11">
        <f t="shared" si="32"/>
        <v>-72.025022173386375</v>
      </c>
      <c r="N33" s="11">
        <f t="shared" si="32"/>
        <v>-72.025022173386375</v>
      </c>
      <c r="O33" s="11">
        <f t="shared" si="32"/>
        <v>-72.02502217338639</v>
      </c>
      <c r="P33" s="11">
        <f t="shared" si="32"/>
        <v>-72.02502217338639</v>
      </c>
      <c r="Q33" s="11">
        <f t="shared" si="32"/>
        <v>-72.025022173386375</v>
      </c>
      <c r="R33" s="11">
        <f t="shared" si="32"/>
        <v>-72.025022173386375</v>
      </c>
      <c r="S33" s="11">
        <f t="shared" si="32"/>
        <v>-72.025022173386375</v>
      </c>
      <c r="T33" s="11">
        <f t="shared" si="32"/>
        <v>-72.02502217338639</v>
      </c>
      <c r="U33" s="11">
        <f t="shared" si="32"/>
        <v>-72.025022173386375</v>
      </c>
      <c r="V33" s="11">
        <f t="shared" si="32"/>
        <v>-72.025022173386375</v>
      </c>
      <c r="W33" s="11">
        <f t="shared" si="32"/>
        <v>-72.02502217338639</v>
      </c>
      <c r="X33" s="11">
        <f t="shared" si="32"/>
        <v>-72.025022173386375</v>
      </c>
      <c r="Y33" s="11">
        <f t="shared" si="32"/>
        <v>-72.025022173386375</v>
      </c>
      <c r="Z33" s="11">
        <f t="shared" si="32"/>
        <v>-72.025022173386361</v>
      </c>
    </row>
    <row r="34" spans="2:26" x14ac:dyDescent="0.25"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5">
      <c r="B35" s="19" t="s">
        <v>41</v>
      </c>
      <c r="C35" s="19"/>
      <c r="D35" s="19" t="s">
        <v>12</v>
      </c>
      <c r="E35" s="19"/>
      <c r="F35" s="20">
        <f t="shared" ref="F35:Z35" si="33">SUM(F31:F32,F28)</f>
        <v>74.174977826613613</v>
      </c>
      <c r="G35" s="20">
        <f t="shared" si="33"/>
        <v>78.95567773792007</v>
      </c>
      <c r="H35" s="20">
        <f t="shared" si="33"/>
        <v>83.903413645678754</v>
      </c>
      <c r="I35" s="20">
        <f t="shared" si="33"/>
        <v>89.024020269747794</v>
      </c>
      <c r="J35" s="20">
        <f t="shared" si="33"/>
        <v>94.323536083579626</v>
      </c>
      <c r="K35" s="20">
        <f t="shared" si="33"/>
        <v>99.808210427132693</v>
      </c>
      <c r="L35" s="20">
        <f t="shared" si="33"/>
        <v>105.48451086799678</v>
      </c>
      <c r="M35" s="20">
        <f t="shared" si="33"/>
        <v>111.35913081938922</v>
      </c>
      <c r="N35" s="20">
        <f t="shared" si="33"/>
        <v>117.43899742398243</v>
      </c>
      <c r="O35" s="20">
        <f t="shared" si="33"/>
        <v>123.73127971283452</v>
      </c>
      <c r="P35" s="20">
        <f t="shared" si="33"/>
        <v>130.24339704901845</v>
      </c>
      <c r="Q35" s="20">
        <f t="shared" si="33"/>
        <v>136.98302786587976</v>
      </c>
      <c r="R35" s="20">
        <f t="shared" si="33"/>
        <v>143.95811871019856</v>
      </c>
      <c r="S35" s="20">
        <f t="shared" si="33"/>
        <v>151.17689360089065</v>
      </c>
      <c r="T35" s="20">
        <f t="shared" si="33"/>
        <v>158.64786371425183</v>
      </c>
      <c r="U35" s="20">
        <f t="shared" si="33"/>
        <v>166.37983740713543</v>
      </c>
      <c r="V35" s="20">
        <f t="shared" si="33"/>
        <v>174.38193058984683</v>
      </c>
      <c r="W35" s="20">
        <f t="shared" si="33"/>
        <v>182.66357746095315</v>
      </c>
      <c r="X35" s="20">
        <f t="shared" si="33"/>
        <v>191.23454161662818</v>
      </c>
      <c r="Y35" s="20">
        <f t="shared" si="33"/>
        <v>200.10492754759508</v>
      </c>
      <c r="Z35" s="20">
        <f t="shared" si="33"/>
        <v>209.28519253718272</v>
      </c>
    </row>
    <row r="37" spans="2:26" x14ac:dyDescent="0.25">
      <c r="B37" t="s">
        <v>44</v>
      </c>
      <c r="D37" t="s">
        <v>12</v>
      </c>
      <c r="Z37" s="1">
        <f>Assumptions!C4*(1+Calcs!$F$5)^(Z3-F3)</f>
        <v>4775.4932723180227</v>
      </c>
    </row>
    <row r="38" spans="2:26" x14ac:dyDescent="0.25">
      <c r="B38" t="s">
        <v>45</v>
      </c>
      <c r="D38" t="s">
        <v>12</v>
      </c>
      <c r="Z38" s="1">
        <f>-Z53</f>
        <v>-978.84355633985456</v>
      </c>
    </row>
    <row r="39" spans="2:26" x14ac:dyDescent="0.25">
      <c r="B39" t="s">
        <v>47</v>
      </c>
      <c r="D39" t="s">
        <v>12</v>
      </c>
      <c r="Z39" s="12">
        <f>SUM(Z37:Z38)</f>
        <v>3796.6497159781684</v>
      </c>
    </row>
    <row r="41" spans="2:26" x14ac:dyDescent="0.25">
      <c r="B41" t="s">
        <v>48</v>
      </c>
      <c r="D41" t="s">
        <v>12</v>
      </c>
      <c r="E41" s="12">
        <f>-Assumptions!D13</f>
        <v>-960</v>
      </c>
      <c r="F41" s="12">
        <f t="shared" ref="F41:Z41" si="34">SUM(F35,F39)</f>
        <v>74.174977826613613</v>
      </c>
      <c r="G41" s="12">
        <f t="shared" si="34"/>
        <v>78.95567773792007</v>
      </c>
      <c r="H41" s="12">
        <f t="shared" si="34"/>
        <v>83.903413645678754</v>
      </c>
      <c r="I41" s="12">
        <f t="shared" si="34"/>
        <v>89.024020269747794</v>
      </c>
      <c r="J41" s="12">
        <f t="shared" si="34"/>
        <v>94.323536083579626</v>
      </c>
      <c r="K41" s="12">
        <f t="shared" si="34"/>
        <v>99.808210427132693</v>
      </c>
      <c r="L41" s="12">
        <f t="shared" si="34"/>
        <v>105.48451086799678</v>
      </c>
      <c r="M41" s="12">
        <f t="shared" si="34"/>
        <v>111.35913081938922</v>
      </c>
      <c r="N41" s="12">
        <f t="shared" si="34"/>
        <v>117.43899742398243</v>
      </c>
      <c r="O41" s="12">
        <f t="shared" si="34"/>
        <v>123.73127971283452</v>
      </c>
      <c r="P41" s="12">
        <f t="shared" si="34"/>
        <v>130.24339704901845</v>
      </c>
      <c r="Q41" s="12">
        <f t="shared" si="34"/>
        <v>136.98302786587976</v>
      </c>
      <c r="R41" s="12">
        <f t="shared" si="34"/>
        <v>143.95811871019856</v>
      </c>
      <c r="S41" s="12">
        <f t="shared" si="34"/>
        <v>151.17689360089065</v>
      </c>
      <c r="T41" s="12">
        <f t="shared" si="34"/>
        <v>158.64786371425183</v>
      </c>
      <c r="U41" s="12">
        <f t="shared" si="34"/>
        <v>166.37983740713543</v>
      </c>
      <c r="V41" s="12">
        <f t="shared" si="34"/>
        <v>174.38193058984683</v>
      </c>
      <c r="W41" s="12">
        <f t="shared" si="34"/>
        <v>182.66357746095315</v>
      </c>
      <c r="X41" s="12">
        <f t="shared" si="34"/>
        <v>191.23454161662818</v>
      </c>
      <c r="Y41" s="12">
        <f t="shared" si="34"/>
        <v>200.10492754759508</v>
      </c>
      <c r="Z41" s="12">
        <f t="shared" si="34"/>
        <v>4005.9349085153513</v>
      </c>
    </row>
    <row r="43" spans="2:26" x14ac:dyDescent="0.25">
      <c r="B43" t="s">
        <v>49</v>
      </c>
      <c r="E43" s="22">
        <f>IRR(E41:Z41)</f>
        <v>0.13945717954769909</v>
      </c>
    </row>
    <row r="44" spans="2:26" x14ac:dyDescent="0.25">
      <c r="B44" t="s">
        <v>49</v>
      </c>
      <c r="E44" s="22">
        <f>XIRR(E41:Z41,E1:Z1)</f>
        <v>0.14629111886024479</v>
      </c>
    </row>
    <row r="46" spans="2:26" outlineLevel="1" x14ac:dyDescent="0.25">
      <c r="B46" s="21" t="s">
        <v>28</v>
      </c>
    </row>
    <row r="47" spans="2:26" outlineLevel="1" x14ac:dyDescent="0.25">
      <c r="B47" s="21"/>
    </row>
    <row r="48" spans="2:26" outlineLevel="1" x14ac:dyDescent="0.25">
      <c r="B48" s="18" t="s">
        <v>42</v>
      </c>
      <c r="F48" s="1">
        <f>Assumptions!C17+1</f>
        <v>41</v>
      </c>
      <c r="G48" s="1">
        <f t="shared" ref="G48:Z48" si="35">F48-1</f>
        <v>40</v>
      </c>
      <c r="H48" s="1">
        <f t="shared" si="35"/>
        <v>39</v>
      </c>
      <c r="I48" s="1">
        <f t="shared" si="35"/>
        <v>38</v>
      </c>
      <c r="J48" s="1">
        <f t="shared" si="35"/>
        <v>37</v>
      </c>
      <c r="K48" s="1">
        <f t="shared" si="35"/>
        <v>36</v>
      </c>
      <c r="L48" s="1">
        <f t="shared" si="35"/>
        <v>35</v>
      </c>
      <c r="M48" s="1">
        <f t="shared" si="35"/>
        <v>34</v>
      </c>
      <c r="N48" s="1">
        <f t="shared" si="35"/>
        <v>33</v>
      </c>
      <c r="O48" s="1">
        <f t="shared" si="35"/>
        <v>32</v>
      </c>
      <c r="P48" s="1">
        <f t="shared" si="35"/>
        <v>31</v>
      </c>
      <c r="Q48" s="1">
        <f t="shared" si="35"/>
        <v>30</v>
      </c>
      <c r="R48" s="1">
        <f t="shared" si="35"/>
        <v>29</v>
      </c>
      <c r="S48" s="1">
        <f t="shared" si="35"/>
        <v>28</v>
      </c>
      <c r="T48" s="1">
        <f t="shared" si="35"/>
        <v>27</v>
      </c>
      <c r="U48" s="1">
        <f t="shared" si="35"/>
        <v>26</v>
      </c>
      <c r="V48" s="1">
        <f t="shared" si="35"/>
        <v>25</v>
      </c>
      <c r="W48" s="1">
        <f t="shared" si="35"/>
        <v>24</v>
      </c>
      <c r="X48" s="1">
        <f t="shared" si="35"/>
        <v>23</v>
      </c>
      <c r="Y48" s="1">
        <f t="shared" si="35"/>
        <v>22</v>
      </c>
      <c r="Z48" s="1">
        <f t="shared" si="35"/>
        <v>21</v>
      </c>
    </row>
    <row r="49" spans="2:26" outlineLevel="1" x14ac:dyDescent="0.25">
      <c r="B49" s="1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outlineLevel="1" x14ac:dyDescent="0.25">
      <c r="B50" t="s">
        <v>22</v>
      </c>
      <c r="F50" s="1">
        <f>Assumptions!C4*Assumptions!C12</f>
        <v>1440</v>
      </c>
      <c r="G50" s="1">
        <f t="shared" ref="G50:V50" si="36">F53</f>
        <v>1425.5749778266136</v>
      </c>
      <c r="H50" s="1">
        <f t="shared" si="36"/>
        <v>1410.5729547662918</v>
      </c>
      <c r="I50" s="1">
        <f t="shared" si="36"/>
        <v>1394.9708507835571</v>
      </c>
      <c r="J50" s="1">
        <f t="shared" si="36"/>
        <v>1378.7446626415131</v>
      </c>
      <c r="K50" s="1">
        <f t="shared" si="36"/>
        <v>1361.8694269737873</v>
      </c>
      <c r="L50" s="1">
        <f t="shared" si="36"/>
        <v>1344.3191818793525</v>
      </c>
      <c r="M50" s="1">
        <f t="shared" si="36"/>
        <v>1326.0669269811403</v>
      </c>
      <c r="N50" s="1">
        <f t="shared" si="36"/>
        <v>1307.0845818869996</v>
      </c>
      <c r="O50" s="1">
        <f t="shared" si="36"/>
        <v>1287.3429429890932</v>
      </c>
      <c r="P50" s="1">
        <f t="shared" si="36"/>
        <v>1266.8116385352705</v>
      </c>
      <c r="Q50" s="1">
        <f t="shared" si="36"/>
        <v>1245.4590819032949</v>
      </c>
      <c r="R50" s="1">
        <f t="shared" si="36"/>
        <v>1223.2524230060403</v>
      </c>
      <c r="S50" s="1">
        <f t="shared" si="36"/>
        <v>1200.1574977528956</v>
      </c>
      <c r="T50" s="1">
        <f t="shared" si="36"/>
        <v>1176.138775489625</v>
      </c>
      <c r="U50" s="1">
        <f t="shared" si="36"/>
        <v>1151.1593043358237</v>
      </c>
      <c r="V50" s="1">
        <f t="shared" si="36"/>
        <v>1125.1806543358703</v>
      </c>
      <c r="W50" s="1">
        <f t="shared" ref="W50:Z50" si="37">V53</f>
        <v>1098.1628583359186</v>
      </c>
      <c r="X50" s="1">
        <f t="shared" si="37"/>
        <v>1070.0643504959689</v>
      </c>
      <c r="Y50" s="1">
        <f t="shared" si="37"/>
        <v>1040.8419023424212</v>
      </c>
      <c r="Z50" s="1">
        <f t="shared" si="37"/>
        <v>1010.4505562627317</v>
      </c>
    </row>
    <row r="51" spans="2:26" outlineLevel="1" x14ac:dyDescent="0.25">
      <c r="B51" t="s">
        <v>23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</row>
    <row r="52" spans="2:26" outlineLevel="1" x14ac:dyDescent="0.25">
      <c r="B52" t="s">
        <v>25</v>
      </c>
      <c r="F52" s="1">
        <f t="shared" ref="F52:Z52" si="38">-SUM(F55:F56)</f>
        <v>-14.425022173386374</v>
      </c>
      <c r="G52" s="1">
        <f t="shared" si="38"/>
        <v>-15.002023060321818</v>
      </c>
      <c r="H52" s="1">
        <f t="shared" si="38"/>
        <v>-15.602103982734704</v>
      </c>
      <c r="I52" s="1">
        <f t="shared" si="38"/>
        <v>-16.226188142044087</v>
      </c>
      <c r="J52" s="1">
        <f t="shared" si="38"/>
        <v>-16.875235667725839</v>
      </c>
      <c r="K52" s="1">
        <f t="shared" si="38"/>
        <v>-17.550245094434885</v>
      </c>
      <c r="L52" s="1">
        <f t="shared" si="38"/>
        <v>-18.252254898212271</v>
      </c>
      <c r="M52" s="1">
        <f t="shared" si="38"/>
        <v>-18.982345094140761</v>
      </c>
      <c r="N52" s="1">
        <f t="shared" si="38"/>
        <v>-19.741638897906391</v>
      </c>
      <c r="O52" s="1">
        <f t="shared" si="38"/>
        <v>-20.531304453822656</v>
      </c>
      <c r="P52" s="1">
        <f t="shared" si="38"/>
        <v>-21.352556631975567</v>
      </c>
      <c r="Q52" s="1">
        <f t="shared" si="38"/>
        <v>-22.206658897254577</v>
      </c>
      <c r="R52" s="1">
        <f t="shared" si="38"/>
        <v>-23.094925253144758</v>
      </c>
      <c r="S52" s="1">
        <f t="shared" si="38"/>
        <v>-24.018722263270554</v>
      </c>
      <c r="T52" s="1">
        <f t="shared" si="38"/>
        <v>-24.979471153801391</v>
      </c>
      <c r="U52" s="1">
        <f t="shared" si="38"/>
        <v>-25.978649999953426</v>
      </c>
      <c r="V52" s="1">
        <f t="shared" si="38"/>
        <v>-27.017795999951566</v>
      </c>
      <c r="W52" s="1">
        <f t="shared" si="38"/>
        <v>-28.098507839949647</v>
      </c>
      <c r="X52" s="1">
        <f t="shared" si="38"/>
        <v>-29.222448153547617</v>
      </c>
      <c r="Y52" s="1">
        <f t="shared" si="38"/>
        <v>-30.391346079689527</v>
      </c>
      <c r="Z52" s="1">
        <f t="shared" si="38"/>
        <v>-31.606999922877094</v>
      </c>
    </row>
    <row r="53" spans="2:26" outlineLevel="1" x14ac:dyDescent="0.25">
      <c r="B53" t="s">
        <v>24</v>
      </c>
      <c r="F53" s="13">
        <f t="shared" ref="F53:V53" si="39">SUM(F50:F52)</f>
        <v>1425.5749778266136</v>
      </c>
      <c r="G53" s="13">
        <f t="shared" si="39"/>
        <v>1410.5729547662918</v>
      </c>
      <c r="H53" s="13">
        <f t="shared" si="39"/>
        <v>1394.9708507835571</v>
      </c>
      <c r="I53" s="13">
        <f t="shared" si="39"/>
        <v>1378.7446626415131</v>
      </c>
      <c r="J53" s="13">
        <f t="shared" si="39"/>
        <v>1361.8694269737873</v>
      </c>
      <c r="K53" s="13">
        <f t="shared" si="39"/>
        <v>1344.3191818793525</v>
      </c>
      <c r="L53" s="13">
        <f t="shared" si="39"/>
        <v>1326.0669269811403</v>
      </c>
      <c r="M53" s="13">
        <f t="shared" si="39"/>
        <v>1307.0845818869996</v>
      </c>
      <c r="N53" s="13">
        <f t="shared" si="39"/>
        <v>1287.3429429890932</v>
      </c>
      <c r="O53" s="13">
        <f t="shared" si="39"/>
        <v>1266.8116385352705</v>
      </c>
      <c r="P53" s="13">
        <f t="shared" si="39"/>
        <v>1245.4590819032949</v>
      </c>
      <c r="Q53" s="13">
        <f t="shared" si="39"/>
        <v>1223.2524230060403</v>
      </c>
      <c r="R53" s="13">
        <f t="shared" si="39"/>
        <v>1200.1574977528956</v>
      </c>
      <c r="S53" s="13">
        <f t="shared" si="39"/>
        <v>1176.138775489625</v>
      </c>
      <c r="T53" s="13">
        <f t="shared" si="39"/>
        <v>1151.1593043358237</v>
      </c>
      <c r="U53" s="13">
        <f t="shared" si="39"/>
        <v>1125.1806543358703</v>
      </c>
      <c r="V53" s="13">
        <f t="shared" si="39"/>
        <v>1098.1628583359186</v>
      </c>
      <c r="W53" s="13">
        <f t="shared" ref="W53" si="40">SUM(W50:W52)</f>
        <v>1070.0643504959689</v>
      </c>
      <c r="X53" s="13">
        <f t="shared" ref="X53" si="41">SUM(X50:X52)</f>
        <v>1040.8419023424212</v>
      </c>
      <c r="Y53" s="13">
        <f t="shared" ref="Y53" si="42">SUM(Y50:Y52)</f>
        <v>1010.4505562627317</v>
      </c>
      <c r="Z53" s="13">
        <f t="shared" ref="Z53" si="43">SUM(Z50:Z52)</f>
        <v>978.84355633985456</v>
      </c>
    </row>
    <row r="54" spans="2:26" outlineLevel="1" x14ac:dyDescent="0.25"/>
    <row r="55" spans="2:26" outlineLevel="1" x14ac:dyDescent="0.25">
      <c r="B55" t="s">
        <v>21</v>
      </c>
      <c r="F55" s="1">
        <f>-F50*Assumptions!$C$15</f>
        <v>-57.6</v>
      </c>
      <c r="G55" s="1">
        <f>-G50*Assumptions!$C$15</f>
        <v>-57.022999113064543</v>
      </c>
      <c r="H55" s="1">
        <f>-H50*Assumptions!$C$15</f>
        <v>-56.422918190651671</v>
      </c>
      <c r="I55" s="1">
        <f>-I50*Assumptions!$C$15</f>
        <v>-55.798834031342288</v>
      </c>
      <c r="J55" s="1">
        <f>-J50*Assumptions!$C$15</f>
        <v>-55.149786505660522</v>
      </c>
      <c r="K55" s="1">
        <f>-K50*Assumptions!$C$15</f>
        <v>-54.47477707895149</v>
      </c>
      <c r="L55" s="1">
        <f>-L50*Assumptions!$C$15</f>
        <v>-53.772767275174104</v>
      </c>
      <c r="M55" s="1">
        <f>-M50*Assumptions!$C$15</f>
        <v>-53.042677079245614</v>
      </c>
      <c r="N55" s="1">
        <f>-N50*Assumptions!$C$15</f>
        <v>-52.283383275479984</v>
      </c>
      <c r="O55" s="1">
        <f>-O50*Assumptions!$C$15</f>
        <v>-51.493717719563733</v>
      </c>
      <c r="P55" s="1">
        <f>-P50*Assumptions!$C$15</f>
        <v>-50.672465541410823</v>
      </c>
      <c r="Q55" s="1">
        <f>-Q50*Assumptions!$C$15</f>
        <v>-49.818363276131798</v>
      </c>
      <c r="R55" s="1">
        <f>-R50*Assumptions!$C$15</f>
        <v>-48.930096920241617</v>
      </c>
      <c r="S55" s="1">
        <f>-S50*Assumptions!$C$15</f>
        <v>-48.006299910115821</v>
      </c>
      <c r="T55" s="1">
        <f>-T50*Assumptions!$C$15</f>
        <v>-47.045551019584998</v>
      </c>
      <c r="U55" s="1">
        <f>-U50*Assumptions!$C$15</f>
        <v>-46.04637217343295</v>
      </c>
      <c r="V55" s="1">
        <f>-V50*Assumptions!$C$15</f>
        <v>-45.007226173434809</v>
      </c>
      <c r="W55" s="1">
        <f>-W50*Assumptions!$C$15</f>
        <v>-43.926514333436742</v>
      </c>
      <c r="X55" s="1">
        <f>-X50*Assumptions!$C$15</f>
        <v>-42.802574019838758</v>
      </c>
      <c r="Y55" s="1">
        <f>-Y50*Assumptions!$C$15</f>
        <v>-41.633676093696849</v>
      </c>
      <c r="Z55" s="1">
        <f>-Z50*Assumptions!$C$15</f>
        <v>-40.418022250509267</v>
      </c>
    </row>
    <row r="56" spans="2:26" outlineLevel="1" x14ac:dyDescent="0.25">
      <c r="B56" t="s">
        <v>27</v>
      </c>
      <c r="F56" s="1">
        <f>-PMT(Assumptions!$C$15,F48,Calcs!F50,0,0)</f>
        <v>72.025022173386375</v>
      </c>
      <c r="G56" s="1">
        <f>-PMT(Assumptions!$C$15,G48,Calcs!G50,0,0)</f>
        <v>72.025022173386361</v>
      </c>
      <c r="H56" s="1">
        <f>-PMT(Assumptions!$C$15,H48,Calcs!H50,0,0)</f>
        <v>72.025022173386375</v>
      </c>
      <c r="I56" s="1">
        <f>-PMT(Assumptions!$C$15,I48,Calcs!I50,0,0)</f>
        <v>72.025022173386375</v>
      </c>
      <c r="J56" s="1">
        <f>-PMT(Assumptions!$C$15,J48,Calcs!J50,0,0)</f>
        <v>72.025022173386361</v>
      </c>
      <c r="K56" s="1">
        <f>-PMT(Assumptions!$C$15,K48,Calcs!K50,0,0)</f>
        <v>72.025022173386375</v>
      </c>
      <c r="L56" s="1">
        <f>-PMT(Assumptions!$C$15,L48,Calcs!L50,0,0)</f>
        <v>72.025022173386375</v>
      </c>
      <c r="M56" s="1">
        <f>-PMT(Assumptions!$C$15,M48,Calcs!M50,0,0)</f>
        <v>72.025022173386375</v>
      </c>
      <c r="N56" s="1">
        <f>-PMT(Assumptions!$C$15,N48,Calcs!N50,0,0)</f>
        <v>72.025022173386375</v>
      </c>
      <c r="O56" s="1">
        <f>-PMT(Assumptions!$C$15,O48,Calcs!O50,0,0)</f>
        <v>72.02502217338639</v>
      </c>
      <c r="P56" s="1">
        <f>-PMT(Assumptions!$C$15,P48,Calcs!P50,0,0)</f>
        <v>72.02502217338639</v>
      </c>
      <c r="Q56" s="1">
        <f>-PMT(Assumptions!$C$15,Q48,Calcs!Q50,0,0)</f>
        <v>72.025022173386375</v>
      </c>
      <c r="R56" s="1">
        <f>-PMT(Assumptions!$C$15,R48,Calcs!R50,0,0)</f>
        <v>72.025022173386375</v>
      </c>
      <c r="S56" s="1">
        <f>-PMT(Assumptions!$C$15,S48,Calcs!S50,0,0)</f>
        <v>72.025022173386375</v>
      </c>
      <c r="T56" s="1">
        <f>-PMT(Assumptions!$C$15,T48,Calcs!T50,0,0)</f>
        <v>72.02502217338639</v>
      </c>
      <c r="U56" s="1">
        <f>-PMT(Assumptions!$C$15,U48,Calcs!U50,0,0)</f>
        <v>72.025022173386375</v>
      </c>
      <c r="V56" s="1">
        <f>-PMT(Assumptions!$C$15,V48,Calcs!V50,0,0)</f>
        <v>72.025022173386375</v>
      </c>
      <c r="W56" s="1">
        <f>-PMT(Assumptions!$C$15,W48,Calcs!W50,0,0)</f>
        <v>72.02502217338639</v>
      </c>
      <c r="X56" s="1">
        <f>-PMT(Assumptions!$C$15,X48,Calcs!X50,0,0)</f>
        <v>72.025022173386375</v>
      </c>
      <c r="Y56" s="1">
        <f>-PMT(Assumptions!$C$15,Y48,Calcs!Y50,0,0)</f>
        <v>72.025022173386375</v>
      </c>
      <c r="Z56" s="1">
        <f>-PMT(Assumptions!$C$15,Z48,Calcs!Z50,0,0)</f>
        <v>72.025022173386361</v>
      </c>
    </row>
    <row r="57" spans="2:26" outlineLevel="1" x14ac:dyDescent="0.25"/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Assumptions</vt:lpstr>
      <vt:lpstr>Calcs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 N</dc:creator>
  <cp:lastModifiedBy>Stoiko</cp:lastModifiedBy>
  <dcterms:created xsi:type="dcterms:W3CDTF">2013-04-08T19:44:09Z</dcterms:created>
  <dcterms:modified xsi:type="dcterms:W3CDTF">2013-04-21T08:14:46Z</dcterms:modified>
</cp:coreProperties>
</file>